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VENSK" sheetId="1" r:id="rId1"/>
    <sheet name="ENGLISH" sheetId="2" r:id="rId2"/>
  </sheets>
  <definedNames>
    <definedName name="CASHFLOW">'SVENSK'!$A$42:$H$56</definedName>
    <definedName name="_xlnm.Print_Area" localSheetId="1">'ENGLISH'!$A$1:$H$124</definedName>
    <definedName name="_xlnm.Print_Area" localSheetId="0">'SVENSK'!$A$1:$H$124</definedName>
  </definedNames>
  <calcPr fullCalcOnLoad="1"/>
</workbook>
</file>

<file path=xl/sharedStrings.xml><?xml version="1.0" encoding="utf-8"?>
<sst xmlns="http://schemas.openxmlformats.org/spreadsheetml/2006/main" count="274" uniqueCount="187">
  <si>
    <t>E</t>
  </si>
  <si>
    <t>Sammandrag av koncernens resultaträkning</t>
  </si>
  <si>
    <t>Belopp i Mkr</t>
  </si>
  <si>
    <t>Nettoomsättning</t>
  </si>
  <si>
    <t>Kostnad sålda varor</t>
  </si>
  <si>
    <t>BRUTTORESULTAT</t>
  </si>
  <si>
    <t>Försäljningskostnader</t>
  </si>
  <si>
    <t>Administrationskostnader</t>
  </si>
  <si>
    <t>Jämförelsestörande poster</t>
  </si>
  <si>
    <t>Övriga rörelsekostnader</t>
  </si>
  <si>
    <t>RÖRELSERESULTAT</t>
  </si>
  <si>
    <t>Finansiella intäkter och kostnader</t>
  </si>
  <si>
    <t>RESULTAT EFTER FINANSIELLA POSTER</t>
  </si>
  <si>
    <t>Skatt</t>
  </si>
  <si>
    <t>RESULTAT EFTER SKATT</t>
  </si>
  <si>
    <t>Sammandrag av koncernens balansräkning</t>
  </si>
  <si>
    <t>Finansiella tillgångar</t>
  </si>
  <si>
    <t>Immateriella anläggningstillgångar</t>
  </si>
  <si>
    <t>Fastigheter</t>
  </si>
  <si>
    <t>Maskiner och inventarier</t>
  </si>
  <si>
    <t>Varulager</t>
  </si>
  <si>
    <t>Kortfristiga fordringar</t>
  </si>
  <si>
    <t>Övriga rörelsetillgångar</t>
  </si>
  <si>
    <t>TILLGÅNGAR</t>
  </si>
  <si>
    <t>Eget kapital</t>
  </si>
  <si>
    <t>Finansiella avsättningar</t>
  </si>
  <si>
    <t>Låneskulder</t>
  </si>
  <si>
    <t>Rörelseavsättningar</t>
  </si>
  <si>
    <t>Rörelseskulder</t>
  </si>
  <si>
    <t>EGET KAPITAL OCH SKULDER</t>
  </si>
  <si>
    <t>Rörelseresultat före avskrivningar</t>
  </si>
  <si>
    <t>Förändring av rörelsekapital</t>
  </si>
  <si>
    <t xml:space="preserve">Nettoinvesteringar </t>
  </si>
  <si>
    <t>Förvärvat/avyttrat sysselsatt kapital</t>
  </si>
  <si>
    <t>KASSAFLÖDE FRÅN RÖRELSEN</t>
  </si>
  <si>
    <t>Kassaflöde från finansiella poster</t>
  </si>
  <si>
    <t>KASSAFLÖDE FÖRE UTDELNING</t>
  </si>
  <si>
    <t>Utdelning</t>
  </si>
  <si>
    <t>KASSAFLÖDE EFTER UTDELNING</t>
  </si>
  <si>
    <t>Omräkningsdifferenser</t>
  </si>
  <si>
    <t>Nyckeltal</t>
  </si>
  <si>
    <t>Bruttoresultatmarginal</t>
  </si>
  <si>
    <t>Rörelsekostnader / försäljning</t>
  </si>
  <si>
    <t>Rörelsemarginal</t>
  </si>
  <si>
    <t>Vinst per aktie efter skatt - kr</t>
  </si>
  <si>
    <t>Avskrivningar enligt plan</t>
  </si>
  <si>
    <t>Omsättningshastighet sysselsatt kap</t>
  </si>
  <si>
    <t>Avkastning på sysselsatt kapital</t>
  </si>
  <si>
    <t>Avkastning på eget kapital efter skatt</t>
  </si>
  <si>
    <t xml:space="preserve">Sysselsatt kapital </t>
  </si>
  <si>
    <t xml:space="preserve">Finansiella skulder netto </t>
  </si>
  <si>
    <t>Eget kapital per aktie - kr</t>
  </si>
  <si>
    <t>Soliditet</t>
  </si>
  <si>
    <t xml:space="preserve">Antal anställda </t>
  </si>
  <si>
    <t xml:space="preserve">Antal aktier </t>
  </si>
  <si>
    <t>Consolidated Income Statement</t>
  </si>
  <si>
    <t>SEK millions</t>
  </si>
  <si>
    <t>Sales</t>
  </si>
  <si>
    <t>Cost of goods sold</t>
  </si>
  <si>
    <t>GROSS PROFIT</t>
  </si>
  <si>
    <t>Selling expenses</t>
  </si>
  <si>
    <t>Administrative expenses</t>
  </si>
  <si>
    <t>Items affecting comparability</t>
  </si>
  <si>
    <t>Other operating expenses</t>
  </si>
  <si>
    <t>OPERATING INCOME</t>
  </si>
  <si>
    <t>Financial income and expense</t>
  </si>
  <si>
    <t>INCOME BEFORE TAX</t>
  </si>
  <si>
    <t>Tax</t>
  </si>
  <si>
    <t>INCOME AFTER TAX</t>
  </si>
  <si>
    <t>Consolidated Balance Sheet</t>
  </si>
  <si>
    <t>Financial assets</t>
  </si>
  <si>
    <t>Intangible assets</t>
  </si>
  <si>
    <t>Property and plant</t>
  </si>
  <si>
    <t>Machinery and equipment</t>
  </si>
  <si>
    <t>Inventories</t>
  </si>
  <si>
    <t>Current receivables</t>
  </si>
  <si>
    <t>Other operating assets</t>
  </si>
  <si>
    <t>ASSETS</t>
  </si>
  <si>
    <t>Shareholders' equity</t>
  </si>
  <si>
    <t>Financial provisions</t>
  </si>
  <si>
    <t>Long and short term debt</t>
  </si>
  <si>
    <t>Operating provisions</t>
  </si>
  <si>
    <t>Operating liabilities</t>
  </si>
  <si>
    <t>SHAREHOLDERS' EQUITY AND LIABILITIES</t>
  </si>
  <si>
    <t>Operating income before depreciation</t>
  </si>
  <si>
    <t>Change in working capital</t>
  </si>
  <si>
    <t>Net investments</t>
  </si>
  <si>
    <t>Acquired/divested capital employed</t>
  </si>
  <si>
    <t>CASH FLOW FROM OPERATIONS</t>
  </si>
  <si>
    <t>Cash flow from financial items</t>
  </si>
  <si>
    <t>CASH FLOW BEFORE DIVIDENDS</t>
  </si>
  <si>
    <t>Dividends</t>
  </si>
  <si>
    <t>CASH FLOW AFTER DIVIDENDS</t>
  </si>
  <si>
    <t>CHANGE IN NET FINANCIAL LIABILITIES</t>
  </si>
  <si>
    <t>Key Figures</t>
  </si>
  <si>
    <t>Gross profit margin</t>
  </si>
  <si>
    <t>Operating expenses / sales</t>
  </si>
  <si>
    <t>Operating margin</t>
  </si>
  <si>
    <t>Income per share - SEK</t>
  </si>
  <si>
    <t>Cost depreciation</t>
  </si>
  <si>
    <t>Turnover capital employed</t>
  </si>
  <si>
    <t>Return on capital employed</t>
  </si>
  <si>
    <t>Return on shareholders equity</t>
  </si>
  <si>
    <t>Capital employed</t>
  </si>
  <si>
    <t>Net financial liabilities</t>
  </si>
  <si>
    <t>Shareholders' equity per share - SEK</t>
  </si>
  <si>
    <t>Equity-to-assets ratio</t>
  </si>
  <si>
    <t>Number of employees</t>
  </si>
  <si>
    <t>Number of shares</t>
  </si>
  <si>
    <t>1999</t>
  </si>
  <si>
    <t>31 mars</t>
  </si>
  <si>
    <t>31 dec</t>
  </si>
  <si>
    <t>30 sep</t>
  </si>
  <si>
    <t>30 juni</t>
  </si>
  <si>
    <t>Sammandrag av koncernens kassaflödesanalys</t>
  </si>
  <si>
    <t>Workspace</t>
  </si>
  <si>
    <t>Nettoomsättning per produktkategori</t>
  </si>
  <si>
    <t>Övriga produkter</t>
  </si>
  <si>
    <t>Development categories</t>
  </si>
  <si>
    <t>USA</t>
  </si>
  <si>
    <t>Tyskland</t>
  </si>
  <si>
    <t>Frankrike</t>
  </si>
  <si>
    <t>Storbritannien</t>
  </si>
  <si>
    <t>Belgien</t>
  </si>
  <si>
    <t>Sverige</t>
  </si>
  <si>
    <t xml:space="preserve">Nederländerna </t>
  </si>
  <si>
    <t>Italien</t>
  </si>
  <si>
    <t>Danmark</t>
  </si>
  <si>
    <t>Kanada</t>
  </si>
  <si>
    <t>Övriga lander</t>
  </si>
  <si>
    <t>31 March</t>
  </si>
  <si>
    <t>30 June</t>
  </si>
  <si>
    <t>Other products</t>
  </si>
  <si>
    <t>Net sales by Product Category</t>
  </si>
  <si>
    <t>NET SALES BY PRODUCT CATEGORY</t>
  </si>
  <si>
    <t>Germany</t>
  </si>
  <si>
    <t>France</t>
  </si>
  <si>
    <t>UK</t>
  </si>
  <si>
    <t>Belgium</t>
  </si>
  <si>
    <t>Sweden</t>
  </si>
  <si>
    <t>Netherlands</t>
  </si>
  <si>
    <t>Italy</t>
  </si>
  <si>
    <t>Canada</t>
  </si>
  <si>
    <t>Other countries</t>
  </si>
  <si>
    <t>Procent</t>
  </si>
  <si>
    <t>Andel nettoomsättning per land</t>
  </si>
  <si>
    <t>TOTAL</t>
  </si>
  <si>
    <t>TOTALT</t>
  </si>
  <si>
    <t xml:space="preserve">Share net sales by country </t>
  </si>
  <si>
    <t>Denmark</t>
  </si>
  <si>
    <t>FÖRÄNDR FINANSIELLA SKULDER NETTO</t>
  </si>
  <si>
    <t>Nyckeltal exkl jämförelsestörande</t>
  </si>
  <si>
    <t>Nyckeltal inkl jämförelsestörande</t>
  </si>
  <si>
    <t>Key figures excl items affecting comp</t>
  </si>
  <si>
    <t>Key figures incl items affecting comp</t>
  </si>
  <si>
    <t>NETTOOMSÄTTN PER PRODUKTKATEGORI</t>
  </si>
  <si>
    <t>Januari - september</t>
  </si>
  <si>
    <t>Filing &amp; Document Management</t>
  </si>
  <si>
    <t>Avskrivningar enligt plan goodwill 1)</t>
  </si>
  <si>
    <t>Goodwill amortization 1)</t>
  </si>
  <si>
    <t>September - december</t>
  </si>
  <si>
    <t>Jan - dec</t>
  </si>
  <si>
    <t>September - December</t>
  </si>
  <si>
    <t>31 Dec</t>
  </si>
  <si>
    <t>30 Sep</t>
  </si>
  <si>
    <t>Jan - Dec</t>
  </si>
  <si>
    <t>Exchange differences</t>
  </si>
  <si>
    <t>1) Excludes SEK 77 million in 2000 being depreciation on fair market value adjustments shown as cost of goods sold.</t>
  </si>
  <si>
    <t xml:space="preserve">     Total goodwill amortization in 1999 were SEK 314 million wereof SEK 128 million is included in items affecting</t>
  </si>
  <si>
    <t xml:space="preserve">      comparability.</t>
  </si>
  <si>
    <t>Neg</t>
  </si>
  <si>
    <t>1) Exkl avskrivningar på marknadsmässiga justeringar av anläggningar i samband med förvärvet av Leitz med 77 Mkr 2000</t>
  </si>
  <si>
    <t xml:space="preserve">      som ingår i kostnad sålda varor. Totala avskrivningar enligt plan goodwill 1999 var 314 Mkr varav 128 Mkr ingår i   </t>
  </si>
  <si>
    <t xml:space="preserve">     jämförelsestörande poster</t>
  </si>
  <si>
    <t>DEFINITIV BOKSLUTSKOMMUNIKE 2000</t>
  </si>
  <si>
    <t>DEFINITIVE REPORT 2000</t>
  </si>
  <si>
    <t>Prel 31 dec</t>
  </si>
  <si>
    <t>Def 31 dec</t>
  </si>
  <si>
    <t>Prel 31 Dec</t>
  </si>
  <si>
    <t>Def 31 Dec</t>
  </si>
  <si>
    <t>Consolidated Cash Flow Statement</t>
  </si>
  <si>
    <t>Helår</t>
  </si>
  <si>
    <t>Def 2000</t>
  </si>
  <si>
    <t>Prel 2000</t>
  </si>
  <si>
    <t>Def 1999</t>
  </si>
  <si>
    <t>Full year</t>
  </si>
  <si>
    <t>Identification Labelling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</si>
</sst>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_)"/>
    <numFmt numFmtId="165" formatCode="0_)"/>
    <numFmt numFmtId="166" formatCode="0.0%"/>
    <numFmt numFmtId="167" formatCode="#,##0.00_);\(#,##0.00\)"/>
    <numFmt numFmtId="168" formatCode="#,##0.0_);\(#,##0.0\)"/>
    <numFmt numFmtId="169" formatCode="#,##0_);\(#,##0\)"/>
    <numFmt numFmtId="170" formatCode="dd\-mmm\-yy_)"/>
    <numFmt numFmtId="171" formatCode="d\-mmm\-yy"/>
    <numFmt numFmtId="172" formatCode="0.0"/>
    <numFmt numFmtId="173" formatCode="dd/mm/yyyy"/>
  </numFmts>
  <fonts count="24">
    <font>
      <sz val="10"/>
      <name val="OfficinaSanITC"/>
      <family val="0"/>
    </font>
    <font>
      <b/>
      <sz val="32"/>
      <name val="NewEsselteLogo"/>
      <family val="0"/>
    </font>
    <font>
      <b/>
      <sz val="18"/>
      <name val="OfficinaSanITC"/>
      <family val="0"/>
    </font>
    <font>
      <b/>
      <sz val="12"/>
      <name val="Helvetica"/>
      <family val="2"/>
    </font>
    <font>
      <b/>
      <sz val="10"/>
      <name val="OfficinaSanITC"/>
      <family val="0"/>
    </font>
    <font>
      <b/>
      <i/>
      <sz val="10"/>
      <name val="OfficinaSanITC"/>
      <family val="0"/>
    </font>
    <font>
      <b/>
      <sz val="10"/>
      <color indexed="12"/>
      <name val="OfficinaSanITC"/>
      <family val="0"/>
    </font>
    <font>
      <sz val="10"/>
      <color indexed="12"/>
      <name val="OfficinaSanITC"/>
      <family val="0"/>
    </font>
    <font>
      <b/>
      <sz val="10"/>
      <color indexed="8"/>
      <name val="OfficinaSanITC"/>
      <family val="0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0"/>
      <color indexed="8"/>
      <name val="OfficinaSanITC"/>
      <family val="0"/>
    </font>
    <font>
      <b/>
      <i/>
      <sz val="10"/>
      <color indexed="8"/>
      <name val="OfficinaSanITC"/>
      <family val="0"/>
    </font>
    <font>
      <sz val="8"/>
      <color indexed="8"/>
      <name val="OfficinaSanITC"/>
      <family val="0"/>
    </font>
    <font>
      <b/>
      <sz val="18"/>
      <color indexed="8"/>
      <name val="OfficinaSanITC"/>
      <family val="0"/>
    </font>
    <font>
      <b/>
      <u val="single"/>
      <sz val="10"/>
      <name val="OfficinaSanITC"/>
      <family val="0"/>
    </font>
    <font>
      <sz val="8"/>
      <name val="OfficinaSanITC"/>
      <family val="0"/>
    </font>
    <font>
      <sz val="10"/>
      <color indexed="10"/>
      <name val="OfficinaSanITC"/>
      <family val="0"/>
    </font>
    <font>
      <b/>
      <sz val="10"/>
      <color indexed="63"/>
      <name val="OfficinaSanITC"/>
      <family val="0"/>
    </font>
    <font>
      <sz val="10"/>
      <color indexed="63"/>
      <name val="OfficinaSanITC"/>
      <family val="0"/>
    </font>
    <font>
      <b/>
      <sz val="10"/>
      <color indexed="10"/>
      <name val="OfficinaSanITC"/>
      <family val="0"/>
    </font>
    <font>
      <i/>
      <u val="single"/>
      <strike/>
      <sz val="10"/>
      <name val="OfficinaSanITC"/>
      <family val="0"/>
    </font>
    <font>
      <b/>
      <i/>
      <u val="single"/>
      <sz val="10"/>
      <name val="OfficinaSanITC"/>
      <family val="0"/>
    </font>
    <font>
      <sz val="10"/>
      <color indexed="39"/>
      <name val="OfficinaSanITC"/>
      <family val="0"/>
    </font>
  </fonts>
  <fills count="3">
    <fill>
      <patternFill/>
    </fill>
    <fill>
      <patternFill patternType="gray125"/>
    </fill>
    <fill>
      <patternFill patternType="lightUp">
        <fgColor indexed="8"/>
      </patternFill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169" fontId="0" fillId="0" borderId="0" xfId="0" applyAlignment="1">
      <alignment/>
    </xf>
    <xf numFmtId="169" fontId="1" fillId="0" borderId="0" xfId="0" applyFont="1" applyAlignment="1">
      <alignment/>
    </xf>
    <xf numFmtId="169" fontId="2" fillId="0" borderId="0" xfId="0" applyFont="1" applyAlignment="1">
      <alignment/>
    </xf>
    <xf numFmtId="169" fontId="3" fillId="0" borderId="0" xfId="0" applyFont="1" applyAlignment="1">
      <alignment/>
    </xf>
    <xf numFmtId="169" fontId="4" fillId="0" borderId="0" xfId="0" applyFont="1" applyAlignment="1">
      <alignment/>
    </xf>
    <xf numFmtId="169" fontId="0" fillId="0" borderId="0" xfId="0" applyFont="1" applyAlignment="1">
      <alignment/>
    </xf>
    <xf numFmtId="169" fontId="11" fillId="0" borderId="0" xfId="0" applyFont="1" applyAlignment="1">
      <alignment/>
    </xf>
    <xf numFmtId="169" fontId="8" fillId="0" borderId="0" xfId="0" applyFont="1" applyAlignment="1">
      <alignment/>
    </xf>
    <xf numFmtId="169" fontId="13" fillId="0" borderId="0" xfId="0" applyFont="1" applyAlignment="1">
      <alignment/>
    </xf>
    <xf numFmtId="169" fontId="14" fillId="0" borderId="0" xfId="0" applyFont="1" applyAlignment="1">
      <alignment/>
    </xf>
    <xf numFmtId="169" fontId="10" fillId="0" borderId="0" xfId="0" applyFont="1" applyAlignment="1">
      <alignment/>
    </xf>
    <xf numFmtId="169" fontId="9" fillId="0" borderId="0" xfId="0" applyFont="1" applyAlignment="1">
      <alignment/>
    </xf>
    <xf numFmtId="166" fontId="8" fillId="0" borderId="0" xfId="0" applyNumberFormat="1" applyFont="1" applyAlignment="1" applyProtection="1">
      <alignment/>
      <protection/>
    </xf>
    <xf numFmtId="166" fontId="11" fillId="0" borderId="0" xfId="0" applyNumberFormat="1" applyFont="1" applyAlignment="1" applyProtection="1">
      <alignment/>
      <protection/>
    </xf>
    <xf numFmtId="169" fontId="16" fillId="0" borderId="0" xfId="0" applyFont="1" applyAlignment="1">
      <alignment/>
    </xf>
    <xf numFmtId="171" fontId="0" fillId="0" borderId="0" xfId="0" applyNumberFormat="1" applyFont="1" applyAlignment="1" applyProtection="1">
      <alignment/>
      <protection/>
    </xf>
    <xf numFmtId="169" fontId="5" fillId="0" borderId="0" xfId="0" applyFont="1" applyBorder="1" applyAlignment="1">
      <alignment/>
    </xf>
    <xf numFmtId="169" fontId="5" fillId="0" borderId="1" xfId="0" applyFont="1" applyBorder="1" applyAlignment="1">
      <alignment/>
    </xf>
    <xf numFmtId="169" fontId="5" fillId="0" borderId="2" xfId="0" applyFont="1" applyBorder="1" applyAlignment="1">
      <alignment/>
    </xf>
    <xf numFmtId="169" fontId="5" fillId="0" borderId="3" xfId="0" applyFont="1" applyBorder="1" applyAlignment="1">
      <alignment/>
    </xf>
    <xf numFmtId="169" fontId="5" fillId="0" borderId="4" xfId="0" applyFont="1" applyBorder="1" applyAlignment="1">
      <alignment/>
    </xf>
    <xf numFmtId="169" fontId="5" fillId="0" borderId="5" xfId="0" applyFont="1" applyBorder="1" applyAlignment="1">
      <alignment/>
    </xf>
    <xf numFmtId="169" fontId="0" fillId="0" borderId="6" xfId="0" applyFont="1" applyBorder="1" applyAlignment="1">
      <alignment/>
    </xf>
    <xf numFmtId="169" fontId="0" fillId="0" borderId="7" xfId="0" applyFont="1" applyBorder="1" applyAlignment="1">
      <alignment/>
    </xf>
    <xf numFmtId="169" fontId="0" fillId="0" borderId="0" xfId="0" applyFont="1" applyBorder="1" applyAlignment="1">
      <alignment/>
    </xf>
    <xf numFmtId="169" fontId="8" fillId="0" borderId="0" xfId="0" applyFont="1" applyBorder="1" applyAlignment="1">
      <alignment/>
    </xf>
    <xf numFmtId="169" fontId="11" fillId="0" borderId="0" xfId="0" applyFont="1" applyBorder="1" applyAlignment="1">
      <alignment/>
    </xf>
    <xf numFmtId="169" fontId="4" fillId="0" borderId="1" xfId="0" applyFont="1" applyBorder="1" applyAlignment="1">
      <alignment horizontal="centerContinuous"/>
    </xf>
    <xf numFmtId="169" fontId="5" fillId="0" borderId="3" xfId="0" applyFont="1" applyBorder="1" applyAlignment="1">
      <alignment horizontal="centerContinuous"/>
    </xf>
    <xf numFmtId="169" fontId="0" fillId="0" borderId="4" xfId="0" applyFont="1" applyBorder="1" applyAlignment="1">
      <alignment/>
    </xf>
    <xf numFmtId="169" fontId="0" fillId="0" borderId="8" xfId="0" applyFont="1" applyBorder="1" applyAlignment="1">
      <alignment/>
    </xf>
    <xf numFmtId="169" fontId="4" fillId="0" borderId="9" xfId="0" applyFont="1" applyBorder="1" applyAlignment="1">
      <alignment/>
    </xf>
    <xf numFmtId="169" fontId="0" fillId="0" borderId="9" xfId="0" applyFont="1" applyBorder="1" applyAlignment="1">
      <alignment/>
    </xf>
    <xf numFmtId="169" fontId="8" fillId="0" borderId="9" xfId="0" applyFont="1" applyBorder="1" applyAlignment="1">
      <alignment/>
    </xf>
    <xf numFmtId="169" fontId="11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/>
      <protection locked="0"/>
    </xf>
    <xf numFmtId="3" fontId="8" fillId="0" borderId="9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 horizontal="right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3" fontId="8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49" fontId="4" fillId="0" borderId="11" xfId="0" applyNumberFormat="1" applyFont="1" applyBorder="1" applyAlignment="1" applyProtection="1">
      <alignment horizontal="right"/>
      <protection/>
    </xf>
    <xf numFmtId="49" fontId="4" fillId="0" borderId="9" xfId="0" applyNumberFormat="1" applyFont="1" applyBorder="1" applyAlignment="1">
      <alignment horizontal="right"/>
    </xf>
    <xf numFmtId="49" fontId="4" fillId="0" borderId="12" xfId="0" applyNumberFormat="1" applyFont="1" applyBorder="1" applyAlignment="1" applyProtection="1">
      <alignment horizontal="right"/>
      <protection/>
    </xf>
    <xf numFmtId="169" fontId="12" fillId="0" borderId="2" xfId="0" applyFont="1" applyBorder="1" applyAlignment="1">
      <alignment/>
    </xf>
    <xf numFmtId="169" fontId="8" fillId="0" borderId="2" xfId="0" applyFont="1" applyBorder="1" applyAlignment="1">
      <alignment/>
    </xf>
    <xf numFmtId="169" fontId="12" fillId="0" borderId="3" xfId="0" applyFont="1" applyBorder="1" applyAlignment="1">
      <alignment/>
    </xf>
    <xf numFmtId="169" fontId="0" fillId="0" borderId="5" xfId="0" applyFont="1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8" fillId="0" borderId="12" xfId="0" applyNumberFormat="1" applyFont="1" applyBorder="1" applyAlignment="1" applyProtection="1">
      <alignment horizontal="right"/>
      <protection/>
    </xf>
    <xf numFmtId="49" fontId="8" fillId="0" borderId="11" xfId="0" applyNumberFormat="1" applyFont="1" applyBorder="1" applyAlignment="1" applyProtection="1">
      <alignment horizontal="right"/>
      <protection/>
    </xf>
    <xf numFmtId="169" fontId="11" fillId="0" borderId="10" xfId="0" applyFont="1" applyBorder="1" applyAlignment="1">
      <alignment/>
    </xf>
    <xf numFmtId="169" fontId="5" fillId="0" borderId="8" xfId="0" applyFont="1" applyBorder="1" applyAlignment="1">
      <alignment/>
    </xf>
    <xf numFmtId="169" fontId="15" fillId="0" borderId="8" xfId="0" applyFont="1" applyBorder="1" applyAlignment="1">
      <alignment/>
    </xf>
    <xf numFmtId="166" fontId="8" fillId="0" borderId="10" xfId="0" applyNumberFormat="1" applyFont="1" applyBorder="1" applyAlignment="1" applyProtection="1">
      <alignment/>
      <protection/>
    </xf>
    <xf numFmtId="166" fontId="11" fillId="0" borderId="10" xfId="0" applyNumberFormat="1" applyFont="1" applyBorder="1" applyAlignment="1" applyProtection="1">
      <alignment/>
      <protection/>
    </xf>
    <xf numFmtId="169" fontId="8" fillId="2" borderId="10" xfId="0" applyFont="1" applyFill="1" applyBorder="1" applyAlignment="1">
      <alignment/>
    </xf>
    <xf numFmtId="169" fontId="11" fillId="2" borderId="10" xfId="0" applyFont="1" applyFill="1" applyBorder="1" applyAlignment="1">
      <alignment/>
    </xf>
    <xf numFmtId="166" fontId="6" fillId="0" borderId="10" xfId="0" applyNumberFormat="1" applyFont="1" applyBorder="1" applyAlignment="1" applyProtection="1">
      <alignment/>
      <protection/>
    </xf>
    <xf numFmtId="167" fontId="11" fillId="2" borderId="10" xfId="0" applyNumberFormat="1" applyFont="1" applyFill="1" applyBorder="1" applyAlignment="1" applyProtection="1">
      <alignment/>
      <protection/>
    </xf>
    <xf numFmtId="166" fontId="11" fillId="2" borderId="10" xfId="0" applyNumberFormat="1" applyFont="1" applyFill="1" applyBorder="1" applyAlignment="1" applyProtection="1">
      <alignment/>
      <protection/>
    </xf>
    <xf numFmtId="169" fontId="8" fillId="2" borderId="9" xfId="0" applyFont="1" applyFill="1" applyBorder="1" applyAlignment="1">
      <alignment/>
    </xf>
    <xf numFmtId="169" fontId="11" fillId="2" borderId="9" xfId="0" applyFont="1" applyFill="1" applyBorder="1" applyAlignment="1">
      <alignment/>
    </xf>
    <xf numFmtId="169" fontId="8" fillId="2" borderId="12" xfId="0" applyFont="1" applyFill="1" applyBorder="1" applyAlignment="1">
      <alignment/>
    </xf>
    <xf numFmtId="169" fontId="11" fillId="2" borderId="12" xfId="0" applyFont="1" applyFill="1" applyBorder="1" applyAlignment="1">
      <alignment/>
    </xf>
    <xf numFmtId="2" fontId="8" fillId="0" borderId="10" xfId="0" applyNumberFormat="1" applyFont="1" applyBorder="1" applyAlignment="1" applyProtection="1">
      <alignment/>
      <protection/>
    </xf>
    <xf numFmtId="2" fontId="11" fillId="0" borderId="10" xfId="0" applyNumberFormat="1" applyFont="1" applyBorder="1" applyAlignment="1" applyProtection="1">
      <alignment/>
      <protection/>
    </xf>
    <xf numFmtId="3" fontId="11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72" fontId="8" fillId="0" borderId="10" xfId="0" applyNumberFormat="1" applyFont="1" applyBorder="1" applyAlignment="1" applyProtection="1">
      <alignment/>
      <protection/>
    </xf>
    <xf numFmtId="172" fontId="11" fillId="0" borderId="10" xfId="0" applyNumberFormat="1" applyFont="1" applyBorder="1" applyAlignment="1" applyProtection="1">
      <alignment/>
      <protection/>
    </xf>
    <xf numFmtId="166" fontId="17" fillId="0" borderId="10" xfId="0" applyNumberFormat="1" applyFont="1" applyBorder="1" applyAlignment="1" applyProtection="1">
      <alignment/>
      <protection/>
    </xf>
    <xf numFmtId="49" fontId="8" fillId="0" borderId="9" xfId="0" applyNumberFormat="1" applyFont="1" applyBorder="1" applyAlignment="1">
      <alignment horizontal="right"/>
    </xf>
    <xf numFmtId="1" fontId="8" fillId="0" borderId="12" xfId="0" applyNumberFormat="1" applyFont="1" applyBorder="1" applyAlignment="1" applyProtection="1">
      <alignment/>
      <protection/>
    </xf>
    <xf numFmtId="3" fontId="8" fillId="0" borderId="10" xfId="0" applyNumberFormat="1" applyFont="1" applyBorder="1" applyAlignment="1" applyProtection="1">
      <alignment/>
      <protection locked="0"/>
    </xf>
    <xf numFmtId="3" fontId="11" fillId="0" borderId="10" xfId="0" applyNumberFormat="1" applyFont="1" applyBorder="1" applyAlignment="1" applyProtection="1">
      <alignment/>
      <protection locked="0"/>
    </xf>
    <xf numFmtId="3" fontId="8" fillId="0" borderId="10" xfId="0" applyNumberFormat="1" applyFont="1" applyBorder="1" applyAlignment="1" applyProtection="1">
      <alignment horizontal="right"/>
      <protection locked="0"/>
    </xf>
    <xf numFmtId="3" fontId="11" fillId="0" borderId="10" xfId="0" applyNumberFormat="1" applyFont="1" applyBorder="1" applyAlignment="1" applyProtection="1">
      <alignment horizontal="right"/>
      <protection locked="0"/>
    </xf>
    <xf numFmtId="169" fontId="8" fillId="0" borderId="10" xfId="0" applyFont="1" applyBorder="1" applyAlignment="1">
      <alignment/>
    </xf>
    <xf numFmtId="3" fontId="8" fillId="0" borderId="9" xfId="0" applyNumberFormat="1" applyFont="1" applyBorder="1" applyAlignment="1" applyProtection="1">
      <alignment/>
      <protection locked="0"/>
    </xf>
    <xf numFmtId="3" fontId="11" fillId="0" borderId="9" xfId="0" applyNumberFormat="1" applyFont="1" applyBorder="1" applyAlignment="1" applyProtection="1">
      <alignment/>
      <protection locked="0"/>
    </xf>
    <xf numFmtId="3" fontId="8" fillId="0" borderId="11" xfId="0" applyNumberFormat="1" applyFont="1" applyBorder="1" applyAlignment="1" applyProtection="1">
      <alignment/>
      <protection locked="0"/>
    </xf>
    <xf numFmtId="3" fontId="11" fillId="0" borderId="11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/>
      <protection/>
    </xf>
    <xf numFmtId="3" fontId="8" fillId="0" borderId="12" xfId="0" applyNumberFormat="1" applyFont="1" applyBorder="1" applyAlignment="1" applyProtection="1">
      <alignment/>
      <protection/>
    </xf>
    <xf numFmtId="3" fontId="11" fillId="0" borderId="12" xfId="0" applyNumberFormat="1" applyFont="1" applyBorder="1" applyAlignment="1" applyProtection="1">
      <alignment/>
      <protection/>
    </xf>
    <xf numFmtId="3" fontId="8" fillId="0" borderId="10" xfId="0" applyNumberFormat="1" applyFont="1" applyBorder="1" applyAlignment="1" applyProtection="1">
      <alignment/>
      <protection/>
    </xf>
    <xf numFmtId="3" fontId="11" fillId="0" borderId="10" xfId="0" applyNumberFormat="1" applyFont="1" applyBorder="1" applyAlignment="1" applyProtection="1">
      <alignment/>
      <protection/>
    </xf>
    <xf numFmtId="169" fontId="4" fillId="0" borderId="5" xfId="0" applyFont="1" applyBorder="1" applyAlignment="1">
      <alignment horizontal="centerContinuous"/>
    </xf>
    <xf numFmtId="169" fontId="5" fillId="0" borderId="5" xfId="0" applyFont="1" applyBorder="1" applyAlignment="1">
      <alignment horizontal="centerContinuous"/>
    </xf>
    <xf numFmtId="49" fontId="4" fillId="0" borderId="13" xfId="0" applyNumberFormat="1" applyFont="1" applyBorder="1" applyAlignment="1">
      <alignment horizontal="right"/>
    </xf>
    <xf numFmtId="49" fontId="4" fillId="0" borderId="7" xfId="0" applyNumberFormat="1" applyFont="1" applyBorder="1" applyAlignment="1" applyProtection="1">
      <alignment horizontal="right"/>
      <protection/>
    </xf>
    <xf numFmtId="49" fontId="4" fillId="0" borderId="14" xfId="0" applyNumberFormat="1" applyFont="1" applyBorder="1" applyAlignment="1" applyProtection="1">
      <alignment horizontal="right"/>
      <protection/>
    </xf>
    <xf numFmtId="9" fontId="6" fillId="0" borderId="10" xfId="0" applyNumberFormat="1" applyFont="1" applyBorder="1" applyAlignment="1" applyProtection="1">
      <alignment/>
      <protection locked="0"/>
    </xf>
    <xf numFmtId="9" fontId="8" fillId="0" borderId="10" xfId="0" applyNumberFormat="1" applyFont="1" applyBorder="1" applyAlignment="1" applyProtection="1">
      <alignment/>
      <protection locked="0"/>
    </xf>
    <xf numFmtId="9" fontId="8" fillId="0" borderId="11" xfId="0" applyNumberFormat="1" applyFont="1" applyBorder="1" applyAlignment="1" applyProtection="1">
      <alignment/>
      <protection locked="0"/>
    </xf>
    <xf numFmtId="3" fontId="18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166" fontId="19" fillId="0" borderId="10" xfId="0" applyNumberFormat="1" applyFont="1" applyBorder="1" applyAlignment="1" applyProtection="1">
      <alignment/>
      <protection/>
    </xf>
    <xf numFmtId="169" fontId="2" fillId="0" borderId="0" xfId="0" applyFont="1" applyAlignment="1">
      <alignment horizontal="right"/>
    </xf>
    <xf numFmtId="49" fontId="8" fillId="0" borderId="1" xfId="0" applyNumberFormat="1" applyFont="1" applyBorder="1" applyAlignment="1" applyProtection="1">
      <alignment horizontal="center"/>
      <protection/>
    </xf>
    <xf numFmtId="9" fontId="8" fillId="0" borderId="11" xfId="0" applyNumberFormat="1" applyFont="1" applyBorder="1" applyAlignment="1">
      <alignment/>
    </xf>
    <xf numFmtId="2" fontId="17" fillId="0" borderId="10" xfId="0" applyNumberFormat="1" applyFont="1" applyBorder="1" applyAlignment="1" applyProtection="1">
      <alignment/>
      <protection/>
    </xf>
    <xf numFmtId="169" fontId="0" fillId="0" borderId="0" xfId="0" applyFont="1" applyBorder="1" applyAlignment="1" quotePrefix="1">
      <alignment/>
    </xf>
    <xf numFmtId="169" fontId="0" fillId="0" borderId="0" xfId="0" applyFont="1" applyAlignment="1" quotePrefix="1">
      <alignment/>
    </xf>
    <xf numFmtId="49" fontId="8" fillId="0" borderId="9" xfId="0" applyNumberFormat="1" applyFont="1" applyBorder="1" applyAlignment="1" applyProtection="1">
      <alignment horizontal="right"/>
      <protection/>
    </xf>
    <xf numFmtId="169" fontId="0" fillId="0" borderId="3" xfId="0" applyBorder="1" applyAlignment="1">
      <alignment/>
    </xf>
    <xf numFmtId="169" fontId="0" fillId="0" borderId="0" xfId="0" applyFont="1" applyAlignment="1">
      <alignment/>
    </xf>
    <xf numFmtId="166" fontId="4" fillId="0" borderId="10" xfId="0" applyNumberFormat="1" applyFont="1" applyBorder="1" applyAlignment="1" applyProtection="1">
      <alignment/>
      <protection/>
    </xf>
    <xf numFmtId="2" fontId="20" fillId="0" borderId="10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 horizontal="right"/>
      <protection/>
    </xf>
    <xf numFmtId="169" fontId="21" fillId="0" borderId="0" xfId="0" applyFont="1" applyAlignment="1">
      <alignment/>
    </xf>
    <xf numFmtId="169" fontId="22" fillId="0" borderId="0" xfId="0" applyFont="1" applyAlignment="1">
      <alignment/>
    </xf>
    <xf numFmtId="166" fontId="7" fillId="0" borderId="10" xfId="0" applyNumberFormat="1" applyFont="1" applyBorder="1" applyAlignment="1" applyProtection="1">
      <alignment horizontal="right"/>
      <protection/>
    </xf>
    <xf numFmtId="172" fontId="23" fillId="0" borderId="10" xfId="0" applyNumberFormat="1" applyFont="1" applyBorder="1" applyAlignment="1" applyProtection="1">
      <alignment/>
      <protection/>
    </xf>
    <xf numFmtId="166" fontId="11" fillId="0" borderId="10" xfId="0" applyNumberFormat="1" applyFont="1" applyBorder="1" applyAlignment="1" applyProtection="1">
      <alignment horizontal="right"/>
      <protection/>
    </xf>
    <xf numFmtId="49" fontId="8" fillId="0" borderId="2" xfId="0" applyNumberFormat="1" applyFont="1" applyBorder="1" applyAlignment="1" applyProtection="1">
      <alignment horizontal="center"/>
      <protection/>
    </xf>
    <xf numFmtId="169" fontId="0" fillId="0" borderId="3" xfId="0" applyBorder="1" applyAlignment="1">
      <alignment horizontal="center"/>
    </xf>
    <xf numFmtId="166" fontId="0" fillId="0" borderId="10" xfId="0" applyNumberFormat="1" applyFont="1" applyBorder="1" applyAlignment="1" applyProtection="1">
      <alignment/>
      <protection/>
    </xf>
    <xf numFmtId="166" fontId="7" fillId="0" borderId="10" xfId="0" applyNumberFormat="1" applyFont="1" applyBorder="1" applyAlignment="1" applyProtection="1">
      <alignment/>
      <protection/>
    </xf>
    <xf numFmtId="169" fontId="11" fillId="0" borderId="1" xfId="0" applyFont="1" applyBorder="1" applyAlignment="1">
      <alignment/>
    </xf>
    <xf numFmtId="169" fontId="4" fillId="0" borderId="1" xfId="0" applyFont="1" applyBorder="1" applyAlignment="1">
      <alignment horizontal="right"/>
    </xf>
    <xf numFmtId="169" fontId="4" fillId="0" borderId="2" xfId="0" applyFont="1" applyBorder="1" applyAlignment="1">
      <alignment horizontal="center"/>
    </xf>
    <xf numFmtId="169" fontId="4" fillId="0" borderId="3" xfId="0" applyFont="1" applyBorder="1" applyAlignment="1">
      <alignment horizontal="right"/>
    </xf>
    <xf numFmtId="169" fontId="0" fillId="0" borderId="1" xfId="0" applyBorder="1" applyAlignment="1">
      <alignment/>
    </xf>
    <xf numFmtId="169" fontId="4" fillId="0" borderId="2" xfId="0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49" fontId="8" fillId="0" borderId="2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24"/>
  <sheetViews>
    <sheetView tabSelected="1" defaultGridColor="0" colorId="22" workbookViewId="0" topLeftCell="A1">
      <selection activeCell="A1" sqref="A1"/>
    </sheetView>
  </sheetViews>
  <sheetFormatPr defaultColWidth="8.75390625" defaultRowHeight="12.75"/>
  <cols>
    <col min="1" max="1" width="20.75390625" style="0" customWidth="1"/>
    <col min="2" max="8" width="10.75390625" style="0" customWidth="1"/>
    <col min="9" max="11" width="9.75390625" style="0" customWidth="1"/>
  </cols>
  <sheetData>
    <row r="1" spans="1:9" ht="30" customHeight="1">
      <c r="A1" s="1" t="s">
        <v>0</v>
      </c>
      <c r="C1" s="2" t="s">
        <v>174</v>
      </c>
      <c r="F1" s="3"/>
      <c r="G1" s="3"/>
      <c r="H1" s="115"/>
      <c r="I1" s="15">
        <f ca="1">NOW()</f>
        <v>36942.475573958334</v>
      </c>
    </row>
    <row r="2" spans="1:8" ht="12" customHeight="1">
      <c r="A2" s="4"/>
      <c r="D2" s="3"/>
      <c r="F2" s="3"/>
      <c r="G2" s="3"/>
      <c r="H2" s="126"/>
    </row>
    <row r="3" ht="12" customHeight="1">
      <c r="H3" s="15"/>
    </row>
    <row r="4" spans="1:8" ht="15" customHeight="1">
      <c r="A4" s="17" t="s">
        <v>1</v>
      </c>
      <c r="B4" s="18"/>
      <c r="C4" s="18"/>
      <c r="D4" s="18"/>
      <c r="E4" s="18"/>
      <c r="F4" s="18"/>
      <c r="G4" s="18"/>
      <c r="H4" s="19"/>
    </row>
    <row r="5" spans="1:11" ht="15" customHeight="1">
      <c r="A5" s="20"/>
      <c r="B5" s="21"/>
      <c r="C5" s="140"/>
      <c r="D5" s="138" t="s">
        <v>160</v>
      </c>
      <c r="E5" s="133"/>
      <c r="F5" s="137"/>
      <c r="G5" s="138" t="s">
        <v>181</v>
      </c>
      <c r="H5" s="139"/>
      <c r="J5" s="27" t="s">
        <v>156</v>
      </c>
      <c r="K5" s="28"/>
    </row>
    <row r="6" spans="1:11" ht="15" customHeight="1">
      <c r="A6" s="22" t="s">
        <v>2</v>
      </c>
      <c r="B6" s="23"/>
      <c r="C6" s="48" t="s">
        <v>182</v>
      </c>
      <c r="D6" s="48" t="s">
        <v>183</v>
      </c>
      <c r="E6" s="48" t="s">
        <v>184</v>
      </c>
      <c r="F6" s="48" t="s">
        <v>182</v>
      </c>
      <c r="G6" s="48" t="s">
        <v>183</v>
      </c>
      <c r="H6" s="48" t="s">
        <v>184</v>
      </c>
      <c r="J6" s="46">
        <v>2000</v>
      </c>
      <c r="K6" s="46">
        <v>1999</v>
      </c>
    </row>
    <row r="7" spans="1:11" ht="12" customHeight="1">
      <c r="A7" s="29"/>
      <c r="B7" s="5"/>
      <c r="C7" s="31"/>
      <c r="D7" s="31"/>
      <c r="E7" s="32"/>
      <c r="F7" s="31"/>
      <c r="G7" s="31"/>
      <c r="H7" s="32"/>
      <c r="J7" s="31"/>
      <c r="K7" s="32"/>
    </row>
    <row r="8" spans="1:11" ht="12" customHeight="1">
      <c r="A8" s="30" t="s">
        <v>3</v>
      </c>
      <c r="B8" s="5"/>
      <c r="C8" s="108">
        <f>F8-J8</f>
        <v>2964</v>
      </c>
      <c r="D8" s="109">
        <f>G8-J8</f>
        <v>2964</v>
      </c>
      <c r="E8" s="109">
        <f>H8-K8</f>
        <v>2901</v>
      </c>
      <c r="F8" s="35">
        <v>11095</v>
      </c>
      <c r="G8" s="36">
        <v>11095</v>
      </c>
      <c r="H8" s="38">
        <v>11192</v>
      </c>
      <c r="J8" s="35">
        <v>8131</v>
      </c>
      <c r="K8" s="36">
        <v>8291</v>
      </c>
    </row>
    <row r="9" spans="1:11" ht="12" customHeight="1">
      <c r="A9" s="30" t="s">
        <v>4</v>
      </c>
      <c r="B9" s="5"/>
      <c r="C9" s="108">
        <f>F9-J9</f>
        <v>-2146</v>
      </c>
      <c r="D9" s="109">
        <f>G9-J9</f>
        <v>-2146</v>
      </c>
      <c r="E9" s="109">
        <f>H9-K9</f>
        <v>-2074</v>
      </c>
      <c r="F9" s="35">
        <v>-8044</v>
      </c>
      <c r="G9" s="36">
        <v>-8044</v>
      </c>
      <c r="H9" s="38">
        <v>-8195</v>
      </c>
      <c r="J9" s="35">
        <v>-5898</v>
      </c>
      <c r="K9" s="36">
        <v>-6121</v>
      </c>
    </row>
    <row r="10" spans="1:11" ht="12" customHeight="1">
      <c r="A10" s="30" t="s">
        <v>5</v>
      </c>
      <c r="B10" s="5"/>
      <c r="C10" s="110">
        <f aca="true" t="shared" si="0" ref="C10:H10">SUM(C8:C9)</f>
        <v>818</v>
      </c>
      <c r="D10" s="111">
        <f t="shared" si="0"/>
        <v>818</v>
      </c>
      <c r="E10" s="111">
        <f t="shared" si="0"/>
        <v>827</v>
      </c>
      <c r="F10" s="39">
        <f t="shared" si="0"/>
        <v>3051</v>
      </c>
      <c r="G10" s="40">
        <f t="shared" si="0"/>
        <v>3051</v>
      </c>
      <c r="H10" s="40">
        <f t="shared" si="0"/>
        <v>2997</v>
      </c>
      <c r="J10" s="39">
        <f>SUM(J8:J9)</f>
        <v>2233</v>
      </c>
      <c r="K10" s="40">
        <f>SUM(K8:K9)</f>
        <v>2170</v>
      </c>
    </row>
    <row r="11" spans="1:11" ht="12" customHeight="1">
      <c r="A11" s="30" t="s">
        <v>6</v>
      </c>
      <c r="B11" s="5"/>
      <c r="C11" s="108">
        <f aca="true" t="shared" si="1" ref="C11:C19">F11-J11</f>
        <v>-393</v>
      </c>
      <c r="D11" s="109">
        <f aca="true" t="shared" si="2" ref="D11:E15">G11-J11</f>
        <v>-393</v>
      </c>
      <c r="E11" s="109">
        <f t="shared" si="2"/>
        <v>-429</v>
      </c>
      <c r="F11" s="41">
        <v>-1651</v>
      </c>
      <c r="G11" s="38">
        <v>-1651</v>
      </c>
      <c r="H11" s="38">
        <v>-1706</v>
      </c>
      <c r="J11" s="41">
        <v>-1258</v>
      </c>
      <c r="K11" s="38">
        <v>-1277</v>
      </c>
    </row>
    <row r="12" spans="1:11" ht="12" customHeight="1">
      <c r="A12" s="30" t="s">
        <v>7</v>
      </c>
      <c r="B12" s="5"/>
      <c r="C12" s="108">
        <f t="shared" si="1"/>
        <v>-199</v>
      </c>
      <c r="D12" s="109">
        <f t="shared" si="2"/>
        <v>-199</v>
      </c>
      <c r="E12" s="109">
        <f t="shared" si="2"/>
        <v>-227</v>
      </c>
      <c r="F12" s="41">
        <v>-775</v>
      </c>
      <c r="G12" s="38">
        <v>-775</v>
      </c>
      <c r="H12" s="38">
        <v>-873</v>
      </c>
      <c r="J12" s="41">
        <v>-576</v>
      </c>
      <c r="K12" s="38">
        <v>-646</v>
      </c>
    </row>
    <row r="13" spans="1:11" ht="12" customHeight="1">
      <c r="A13" s="30" t="s">
        <v>8</v>
      </c>
      <c r="B13" s="5"/>
      <c r="C13" s="108">
        <f t="shared" si="1"/>
        <v>-4</v>
      </c>
      <c r="D13" s="109">
        <f t="shared" si="2"/>
        <v>-4</v>
      </c>
      <c r="E13" s="109">
        <f t="shared" si="2"/>
        <v>-149</v>
      </c>
      <c r="F13" s="42">
        <v>-4</v>
      </c>
      <c r="G13" s="43">
        <v>-4</v>
      </c>
      <c r="H13" s="38">
        <v>-183</v>
      </c>
      <c r="J13" s="42"/>
      <c r="K13" s="43">
        <v>-34</v>
      </c>
    </row>
    <row r="14" spans="1:11" ht="12" customHeight="1">
      <c r="A14" s="30" t="s">
        <v>158</v>
      </c>
      <c r="B14" s="5"/>
      <c r="C14" s="108">
        <f t="shared" si="1"/>
        <v>-24</v>
      </c>
      <c r="D14" s="109">
        <f t="shared" si="2"/>
        <v>-24</v>
      </c>
      <c r="E14" s="109">
        <f t="shared" si="2"/>
        <v>-107</v>
      </c>
      <c r="F14" s="42">
        <v>-94</v>
      </c>
      <c r="G14" s="43">
        <v>-94</v>
      </c>
      <c r="H14" s="38">
        <v>-186</v>
      </c>
      <c r="J14" s="42">
        <v>-70</v>
      </c>
      <c r="K14" s="43">
        <v>-79</v>
      </c>
    </row>
    <row r="15" spans="1:11" ht="12" customHeight="1">
      <c r="A15" s="30" t="s">
        <v>9</v>
      </c>
      <c r="B15" s="5"/>
      <c r="C15" s="108">
        <f t="shared" si="1"/>
        <v>-8</v>
      </c>
      <c r="D15" s="109">
        <f t="shared" si="2"/>
        <v>-8</v>
      </c>
      <c r="E15" s="109">
        <f t="shared" si="2"/>
        <v>-99</v>
      </c>
      <c r="F15" s="41">
        <v>-76</v>
      </c>
      <c r="G15" s="38">
        <v>-76</v>
      </c>
      <c r="H15" s="38">
        <v>-180</v>
      </c>
      <c r="J15" s="41">
        <v>-68</v>
      </c>
      <c r="K15" s="38">
        <f>-160+79</f>
        <v>-81</v>
      </c>
    </row>
    <row r="16" spans="1:11" ht="12" customHeight="1">
      <c r="A16" s="30" t="s">
        <v>10</v>
      </c>
      <c r="B16" s="5"/>
      <c r="C16" s="110">
        <f aca="true" t="shared" si="3" ref="C16:H16">SUM(C10:C15)</f>
        <v>190</v>
      </c>
      <c r="D16" s="111">
        <f t="shared" si="3"/>
        <v>190</v>
      </c>
      <c r="E16" s="111">
        <f t="shared" si="3"/>
        <v>-184</v>
      </c>
      <c r="F16" s="39">
        <f t="shared" si="3"/>
        <v>451</v>
      </c>
      <c r="G16" s="40">
        <f t="shared" si="3"/>
        <v>451</v>
      </c>
      <c r="H16" s="40">
        <f t="shared" si="3"/>
        <v>-131</v>
      </c>
      <c r="J16" s="39">
        <f>SUM(J10:J15)</f>
        <v>261</v>
      </c>
      <c r="K16" s="40">
        <f>SUM(K10:K15)</f>
        <v>53</v>
      </c>
    </row>
    <row r="17" spans="1:11" ht="12" customHeight="1">
      <c r="A17" s="30" t="s">
        <v>11</v>
      </c>
      <c r="B17" s="5"/>
      <c r="C17" s="108">
        <f t="shared" si="1"/>
        <v>-69</v>
      </c>
      <c r="D17" s="109">
        <f>G17-J17</f>
        <v>-69</v>
      </c>
      <c r="E17" s="109">
        <f>H17-K17</f>
        <v>-36</v>
      </c>
      <c r="F17" s="41">
        <v>-177</v>
      </c>
      <c r="G17" s="38">
        <v>-177</v>
      </c>
      <c r="H17" s="38">
        <v>-97</v>
      </c>
      <c r="J17" s="41">
        <v>-108</v>
      </c>
      <c r="K17" s="38">
        <v>-61</v>
      </c>
    </row>
    <row r="18" spans="1:11" ht="12" customHeight="1">
      <c r="A18" s="30" t="s">
        <v>12</v>
      </c>
      <c r="B18" s="5"/>
      <c r="C18" s="110">
        <f aca="true" t="shared" si="4" ref="C18:H18">SUM(C16:C17)</f>
        <v>121</v>
      </c>
      <c r="D18" s="111">
        <f t="shared" si="4"/>
        <v>121</v>
      </c>
      <c r="E18" s="111">
        <f t="shared" si="4"/>
        <v>-220</v>
      </c>
      <c r="F18" s="39">
        <f t="shared" si="4"/>
        <v>274</v>
      </c>
      <c r="G18" s="40">
        <f t="shared" si="4"/>
        <v>274</v>
      </c>
      <c r="H18" s="40">
        <f t="shared" si="4"/>
        <v>-228</v>
      </c>
      <c r="J18" s="39">
        <f>SUM(J16:J17)</f>
        <v>153</v>
      </c>
      <c r="K18" s="40">
        <f>SUM(K16:K17)</f>
        <v>-8</v>
      </c>
    </row>
    <row r="19" spans="1:11" ht="12" customHeight="1">
      <c r="A19" s="30" t="s">
        <v>13</v>
      </c>
      <c r="B19" s="5"/>
      <c r="C19" s="108">
        <f t="shared" si="1"/>
        <v>-49</v>
      </c>
      <c r="D19" s="109">
        <f>G19-J19</f>
        <v>-49</v>
      </c>
      <c r="E19" s="109">
        <f>H19-K19</f>
        <v>-7</v>
      </c>
      <c r="F19" s="41">
        <v>-110</v>
      </c>
      <c r="G19" s="38">
        <v>-110</v>
      </c>
      <c r="H19" s="38">
        <v>-3</v>
      </c>
      <c r="J19" s="41">
        <v>-61</v>
      </c>
      <c r="K19" s="38">
        <v>4</v>
      </c>
    </row>
    <row r="20" spans="1:11" ht="12" customHeight="1">
      <c r="A20" s="22" t="s">
        <v>14</v>
      </c>
      <c r="B20" s="23"/>
      <c r="C20" s="112">
        <f aca="true" t="shared" si="5" ref="C20:H20">SUM(C18:C19)</f>
        <v>72</v>
      </c>
      <c r="D20" s="113">
        <f t="shared" si="5"/>
        <v>72</v>
      </c>
      <c r="E20" s="113">
        <f t="shared" si="5"/>
        <v>-227</v>
      </c>
      <c r="F20" s="44">
        <f t="shared" si="5"/>
        <v>164</v>
      </c>
      <c r="G20" s="45">
        <f t="shared" si="5"/>
        <v>164</v>
      </c>
      <c r="H20" s="45">
        <f t="shared" si="5"/>
        <v>-231</v>
      </c>
      <c r="J20" s="44">
        <f>SUM(J18:J19)</f>
        <v>92</v>
      </c>
      <c r="K20" s="45">
        <f>SUM(K18:K19)</f>
        <v>-4</v>
      </c>
    </row>
    <row r="21" spans="1:8" ht="12" customHeight="1">
      <c r="A21" s="5"/>
      <c r="B21" s="5"/>
      <c r="C21" s="6"/>
      <c r="D21" s="6"/>
      <c r="E21" s="7"/>
      <c r="F21" s="6"/>
      <c r="G21" s="7"/>
      <c r="H21" s="6"/>
    </row>
    <row r="22" spans="1:8" ht="15" customHeight="1">
      <c r="A22" s="17" t="s">
        <v>15</v>
      </c>
      <c r="B22" s="18"/>
      <c r="C22" s="49"/>
      <c r="D22" s="49"/>
      <c r="E22" s="49"/>
      <c r="F22" s="49"/>
      <c r="G22" s="50"/>
      <c r="H22" s="51"/>
    </row>
    <row r="23" spans="1:8" ht="15" customHeight="1">
      <c r="A23" s="53"/>
      <c r="B23" s="54"/>
      <c r="C23" s="116"/>
      <c r="D23" s="132"/>
      <c r="E23" s="132">
        <v>2000</v>
      </c>
      <c r="F23" s="132"/>
      <c r="G23" s="122"/>
      <c r="H23" s="121" t="s">
        <v>109</v>
      </c>
    </row>
    <row r="24" spans="1:8" ht="15" customHeight="1">
      <c r="A24" s="55" t="s">
        <v>2</v>
      </c>
      <c r="B24" s="56"/>
      <c r="C24" s="58" t="s">
        <v>177</v>
      </c>
      <c r="D24" s="58" t="s">
        <v>176</v>
      </c>
      <c r="E24" s="58" t="s">
        <v>112</v>
      </c>
      <c r="F24" s="58" t="s">
        <v>113</v>
      </c>
      <c r="G24" s="58" t="s">
        <v>110</v>
      </c>
      <c r="H24" s="57" t="s">
        <v>111</v>
      </c>
    </row>
    <row r="25" spans="1:8" ht="12" customHeight="1">
      <c r="A25" s="30"/>
      <c r="B25" s="5"/>
      <c r="C25" s="33"/>
      <c r="D25" s="33"/>
      <c r="E25" s="33"/>
      <c r="F25" s="33"/>
      <c r="G25" s="33"/>
      <c r="H25" s="33"/>
    </row>
    <row r="26" spans="1:8" ht="12" customHeight="1">
      <c r="A26" s="30" t="s">
        <v>16</v>
      </c>
      <c r="B26" s="5"/>
      <c r="C26" s="41">
        <v>841</v>
      </c>
      <c r="D26" s="38">
        <v>784</v>
      </c>
      <c r="E26" s="38">
        <v>740</v>
      </c>
      <c r="F26" s="38">
        <f>619+168</f>
        <v>787</v>
      </c>
      <c r="G26" s="38">
        <v>728</v>
      </c>
      <c r="H26" s="38">
        <v>829</v>
      </c>
    </row>
    <row r="27" spans="1:8" ht="12" customHeight="1">
      <c r="A27" s="30" t="s">
        <v>17</v>
      </c>
      <c r="B27" s="5"/>
      <c r="C27" s="41">
        <f>1277+89</f>
        <v>1366</v>
      </c>
      <c r="D27" s="38">
        <f>1280+86</f>
        <v>1366</v>
      </c>
      <c r="E27" s="38">
        <f>1282+91</f>
        <v>1373</v>
      </c>
      <c r="F27" s="38">
        <f>1270+89</f>
        <v>1359</v>
      </c>
      <c r="G27" s="38">
        <f>1276+104</f>
        <v>1380</v>
      </c>
      <c r="H27" s="38">
        <v>1429</v>
      </c>
    </row>
    <row r="28" spans="1:8" ht="12" customHeight="1">
      <c r="A28" s="30" t="s">
        <v>18</v>
      </c>
      <c r="B28" s="5"/>
      <c r="C28" s="41">
        <v>988</v>
      </c>
      <c r="D28" s="38">
        <v>988</v>
      </c>
      <c r="E28" s="38">
        <v>983</v>
      </c>
      <c r="F28" s="38">
        <v>969</v>
      </c>
      <c r="G28" s="38">
        <v>976</v>
      </c>
      <c r="H28" s="38">
        <v>1024</v>
      </c>
    </row>
    <row r="29" spans="1:8" ht="12" customHeight="1">
      <c r="A29" s="30" t="s">
        <v>19</v>
      </c>
      <c r="B29" s="5"/>
      <c r="C29" s="41">
        <v>1053</v>
      </c>
      <c r="D29" s="38">
        <v>1053</v>
      </c>
      <c r="E29" s="38">
        <v>1061</v>
      </c>
      <c r="F29" s="38">
        <v>1066</v>
      </c>
      <c r="G29" s="38">
        <v>1095</v>
      </c>
      <c r="H29" s="38">
        <v>1159</v>
      </c>
    </row>
    <row r="30" spans="1:8" ht="12" customHeight="1">
      <c r="A30" s="30" t="s">
        <v>20</v>
      </c>
      <c r="B30" s="5"/>
      <c r="C30" s="41">
        <v>2108</v>
      </c>
      <c r="D30" s="38">
        <v>2108</v>
      </c>
      <c r="E30" s="38">
        <v>2265</v>
      </c>
      <c r="F30" s="38">
        <v>2197</v>
      </c>
      <c r="G30" s="38">
        <v>1947</v>
      </c>
      <c r="H30" s="38">
        <v>1984</v>
      </c>
    </row>
    <row r="31" spans="1:8" ht="12" customHeight="1">
      <c r="A31" s="30" t="s">
        <v>21</v>
      </c>
      <c r="B31" s="5"/>
      <c r="C31" s="41">
        <f>2087+323</f>
        <v>2410</v>
      </c>
      <c r="D31" s="38">
        <v>2467</v>
      </c>
      <c r="E31" s="38">
        <f>2181+330</f>
        <v>2511</v>
      </c>
      <c r="F31" s="38">
        <f>1971+310</f>
        <v>2281</v>
      </c>
      <c r="G31" s="38">
        <f>2148+345</f>
        <v>2493</v>
      </c>
      <c r="H31" s="38">
        <f>2128+365</f>
        <v>2493</v>
      </c>
    </row>
    <row r="32" spans="1:8" ht="12" customHeight="1">
      <c r="A32" s="30" t="s">
        <v>22</v>
      </c>
      <c r="B32" s="5"/>
      <c r="C32" s="41">
        <f>295+33</f>
        <v>328</v>
      </c>
      <c r="D32" s="38">
        <v>240</v>
      </c>
      <c r="E32" s="38">
        <f>263+41</f>
        <v>304</v>
      </c>
      <c r="F32" s="38">
        <f>249+34</f>
        <v>283</v>
      </c>
      <c r="G32" s="38">
        <v>282</v>
      </c>
      <c r="H32" s="38">
        <v>292</v>
      </c>
    </row>
    <row r="33" spans="1:8" ht="12" customHeight="1">
      <c r="A33" s="30" t="s">
        <v>23</v>
      </c>
      <c r="B33" s="5"/>
      <c r="C33" s="39">
        <f aca="true" t="shared" si="6" ref="C33:H33">SUM(C26:C32)</f>
        <v>9094</v>
      </c>
      <c r="D33" s="40">
        <f t="shared" si="6"/>
        <v>9006</v>
      </c>
      <c r="E33" s="40">
        <f t="shared" si="6"/>
        <v>9237</v>
      </c>
      <c r="F33" s="40">
        <f t="shared" si="6"/>
        <v>8942</v>
      </c>
      <c r="G33" s="40">
        <f t="shared" si="6"/>
        <v>8901</v>
      </c>
      <c r="H33" s="40">
        <f t="shared" si="6"/>
        <v>9210</v>
      </c>
    </row>
    <row r="34" spans="1:8" ht="12" customHeight="1">
      <c r="A34" s="30"/>
      <c r="B34" s="5"/>
      <c r="C34" s="37"/>
      <c r="D34" s="75"/>
      <c r="E34" s="75"/>
      <c r="F34" s="75"/>
      <c r="G34" s="75"/>
      <c r="H34" s="37"/>
    </row>
    <row r="35" spans="1:8" ht="12" customHeight="1">
      <c r="A35" s="30" t="s">
        <v>24</v>
      </c>
      <c r="B35" s="5"/>
      <c r="C35" s="41">
        <v>2588</v>
      </c>
      <c r="D35" s="38">
        <v>2588</v>
      </c>
      <c r="E35" s="38">
        <v>2520</v>
      </c>
      <c r="F35" s="38">
        <v>2579</v>
      </c>
      <c r="G35" s="38">
        <v>2663</v>
      </c>
      <c r="H35" s="38">
        <v>2597</v>
      </c>
    </row>
    <row r="36" spans="1:8" ht="12" customHeight="1">
      <c r="A36" s="30" t="s">
        <v>25</v>
      </c>
      <c r="B36" s="5"/>
      <c r="C36" s="41">
        <v>457</v>
      </c>
      <c r="D36" s="38">
        <v>457</v>
      </c>
      <c r="E36" s="38">
        <v>446</v>
      </c>
      <c r="F36" s="38">
        <v>435</v>
      </c>
      <c r="G36" s="38">
        <v>420</v>
      </c>
      <c r="H36" s="38">
        <v>428</v>
      </c>
    </row>
    <row r="37" spans="1:8" ht="12" customHeight="1">
      <c r="A37" s="30" t="s">
        <v>26</v>
      </c>
      <c r="B37" s="5"/>
      <c r="C37" s="41">
        <f>2389+899</f>
        <v>3288</v>
      </c>
      <c r="D37" s="38">
        <f>2389+899</f>
        <v>3288</v>
      </c>
      <c r="E37" s="38">
        <f>3244+180</f>
        <v>3424</v>
      </c>
      <c r="F37" s="38">
        <f>3004+204</f>
        <v>3208</v>
      </c>
      <c r="G37" s="38">
        <f>2951+204</f>
        <v>3155</v>
      </c>
      <c r="H37" s="38">
        <v>3315</v>
      </c>
    </row>
    <row r="38" spans="1:8" ht="12" customHeight="1">
      <c r="A38" s="30" t="s">
        <v>27</v>
      </c>
      <c r="B38" s="5"/>
      <c r="C38" s="41">
        <v>303</v>
      </c>
      <c r="D38" s="38">
        <v>303</v>
      </c>
      <c r="E38" s="38">
        <v>381</v>
      </c>
      <c r="F38" s="38">
        <v>422</v>
      </c>
      <c r="G38" s="38">
        <v>278</v>
      </c>
      <c r="H38" s="38">
        <v>302</v>
      </c>
    </row>
    <row r="39" spans="1:8" ht="12" customHeight="1">
      <c r="A39" s="30" t="s">
        <v>28</v>
      </c>
      <c r="B39" s="5"/>
      <c r="C39" s="41">
        <v>2458</v>
      </c>
      <c r="D39" s="38">
        <v>2370</v>
      </c>
      <c r="E39" s="38">
        <f>2847-381</f>
        <v>2466</v>
      </c>
      <c r="F39" s="38">
        <f>2720-F38</f>
        <v>2298</v>
      </c>
      <c r="G39" s="38">
        <v>2385</v>
      </c>
      <c r="H39" s="38">
        <v>2568</v>
      </c>
    </row>
    <row r="40" spans="1:8" ht="12" customHeight="1">
      <c r="A40" s="22" t="s">
        <v>29</v>
      </c>
      <c r="B40" s="23"/>
      <c r="C40" s="44">
        <f aca="true" t="shared" si="7" ref="C40:H40">SUM(C35:C39)</f>
        <v>9094</v>
      </c>
      <c r="D40" s="45">
        <f t="shared" si="7"/>
        <v>9006</v>
      </c>
      <c r="E40" s="45">
        <f t="shared" si="7"/>
        <v>9237</v>
      </c>
      <c r="F40" s="45">
        <f t="shared" si="7"/>
        <v>8942</v>
      </c>
      <c r="G40" s="45">
        <f t="shared" si="7"/>
        <v>8901</v>
      </c>
      <c r="H40" s="45">
        <f t="shared" si="7"/>
        <v>9210</v>
      </c>
    </row>
    <row r="41" spans="1:8" ht="12" customHeight="1">
      <c r="A41" s="5"/>
      <c r="B41" s="5"/>
      <c r="C41" s="6"/>
      <c r="D41" s="6"/>
      <c r="E41" s="6"/>
      <c r="F41" s="6"/>
      <c r="G41" s="6"/>
      <c r="H41" s="6"/>
    </row>
    <row r="42" spans="1:8" ht="15" customHeight="1">
      <c r="A42" s="17" t="s">
        <v>114</v>
      </c>
      <c r="B42" s="18"/>
      <c r="C42" s="49"/>
      <c r="D42" s="49"/>
      <c r="E42" s="49"/>
      <c r="F42" s="49"/>
      <c r="G42" s="50"/>
      <c r="H42" s="51"/>
    </row>
    <row r="43" spans="1:11" ht="15" customHeight="1">
      <c r="A43" s="20"/>
      <c r="B43" s="21"/>
      <c r="C43" s="140"/>
      <c r="D43" s="138" t="s">
        <v>160</v>
      </c>
      <c r="E43" s="133"/>
      <c r="F43" s="137"/>
      <c r="G43" s="138" t="s">
        <v>181</v>
      </c>
      <c r="H43" s="139"/>
      <c r="J43" s="27" t="s">
        <v>156</v>
      </c>
      <c r="K43" s="28"/>
    </row>
    <row r="44" spans="1:11" ht="15" customHeight="1">
      <c r="A44" s="22" t="s">
        <v>2</v>
      </c>
      <c r="B44" s="23"/>
      <c r="C44" s="48" t="s">
        <v>182</v>
      </c>
      <c r="D44" s="48" t="s">
        <v>183</v>
      </c>
      <c r="E44" s="48" t="s">
        <v>184</v>
      </c>
      <c r="F44" s="48" t="s">
        <v>182</v>
      </c>
      <c r="G44" s="48" t="s">
        <v>183</v>
      </c>
      <c r="H44" s="48" t="s">
        <v>184</v>
      </c>
      <c r="J44" s="46">
        <v>2000</v>
      </c>
      <c r="K44" s="46">
        <v>1999</v>
      </c>
    </row>
    <row r="45" spans="1:11" ht="12" customHeight="1">
      <c r="A45" s="29"/>
      <c r="B45" s="5"/>
      <c r="C45" s="34"/>
      <c r="D45" s="34"/>
      <c r="E45" s="34"/>
      <c r="F45" s="34"/>
      <c r="G45" s="34"/>
      <c r="H45" s="34"/>
      <c r="J45" s="34"/>
      <c r="K45" s="34"/>
    </row>
    <row r="46" spans="1:11" ht="12" customHeight="1">
      <c r="A46" s="30" t="s">
        <v>30</v>
      </c>
      <c r="B46" s="5"/>
      <c r="C46" s="108">
        <f aca="true" t="shared" si="8" ref="C46:C55">F46-J46</f>
        <v>318</v>
      </c>
      <c r="D46" s="109">
        <f aca="true" t="shared" si="9" ref="D46:E49">G46-J46</f>
        <v>318</v>
      </c>
      <c r="E46" s="109">
        <f t="shared" si="9"/>
        <v>128</v>
      </c>
      <c r="F46" s="41">
        <v>924</v>
      </c>
      <c r="G46" s="38">
        <v>924</v>
      </c>
      <c r="H46" s="36">
        <v>585</v>
      </c>
      <c r="J46" s="41">
        <v>606</v>
      </c>
      <c r="K46" s="38">
        <v>457</v>
      </c>
    </row>
    <row r="47" spans="1:11" ht="12" customHeight="1">
      <c r="A47" s="30" t="s">
        <v>31</v>
      </c>
      <c r="B47" s="5"/>
      <c r="C47" s="108">
        <f t="shared" si="8"/>
        <v>150</v>
      </c>
      <c r="D47" s="109">
        <f t="shared" si="9"/>
        <v>53</v>
      </c>
      <c r="E47" s="109">
        <f t="shared" si="9"/>
        <v>-20</v>
      </c>
      <c r="F47" s="41">
        <v>-80</v>
      </c>
      <c r="G47" s="38">
        <v>-177</v>
      </c>
      <c r="H47" s="36">
        <v>6</v>
      </c>
      <c r="J47" s="41">
        <v>-230</v>
      </c>
      <c r="K47" s="38">
        <v>26</v>
      </c>
    </row>
    <row r="48" spans="1:11" ht="12" customHeight="1">
      <c r="A48" s="30" t="s">
        <v>32</v>
      </c>
      <c r="B48" s="5"/>
      <c r="C48" s="108">
        <f t="shared" si="8"/>
        <v>-93</v>
      </c>
      <c r="D48" s="109">
        <f t="shared" si="9"/>
        <v>-116</v>
      </c>
      <c r="E48" s="109">
        <f t="shared" si="9"/>
        <v>-105</v>
      </c>
      <c r="F48" s="41">
        <v>-196</v>
      </c>
      <c r="G48" s="38">
        <v>-219</v>
      </c>
      <c r="H48" s="36">
        <v>-331</v>
      </c>
      <c r="J48" s="41">
        <v>-103</v>
      </c>
      <c r="K48" s="38">
        <v>-226</v>
      </c>
    </row>
    <row r="49" spans="1:11" ht="12" customHeight="1">
      <c r="A49" s="30" t="s">
        <v>33</v>
      </c>
      <c r="B49" s="5"/>
      <c r="C49" s="108">
        <f t="shared" si="8"/>
        <v>78</v>
      </c>
      <c r="D49" s="109">
        <f t="shared" si="9"/>
        <v>101</v>
      </c>
      <c r="E49" s="109">
        <f t="shared" si="9"/>
        <v>108</v>
      </c>
      <c r="F49" s="41">
        <v>96</v>
      </c>
      <c r="G49" s="38">
        <v>119</v>
      </c>
      <c r="H49" s="36">
        <v>1134</v>
      </c>
      <c r="J49" s="41">
        <v>18</v>
      </c>
      <c r="K49" s="38">
        <v>1026</v>
      </c>
    </row>
    <row r="50" spans="1:11" ht="12" customHeight="1">
      <c r="A50" s="30" t="s">
        <v>34</v>
      </c>
      <c r="B50" s="5"/>
      <c r="C50" s="39">
        <f aca="true" t="shared" si="10" ref="C50:H50">SUM(C46:C49)</f>
        <v>453</v>
      </c>
      <c r="D50" s="40">
        <f t="shared" si="10"/>
        <v>356</v>
      </c>
      <c r="E50" s="40">
        <f t="shared" si="10"/>
        <v>111</v>
      </c>
      <c r="F50" s="39">
        <f t="shared" si="10"/>
        <v>744</v>
      </c>
      <c r="G50" s="40">
        <f t="shared" si="10"/>
        <v>647</v>
      </c>
      <c r="H50" s="40">
        <f t="shared" si="10"/>
        <v>1394</v>
      </c>
      <c r="J50" s="39">
        <f>SUM(J46:J49)</f>
        <v>291</v>
      </c>
      <c r="K50" s="40">
        <f>SUM(K46:K49)</f>
        <v>1283</v>
      </c>
    </row>
    <row r="51" spans="1:11" ht="12" customHeight="1">
      <c r="A51" s="30" t="s">
        <v>35</v>
      </c>
      <c r="B51" s="5"/>
      <c r="C51" s="108">
        <f t="shared" si="8"/>
        <v>-158</v>
      </c>
      <c r="D51" s="109">
        <f>G51-J51</f>
        <v>-117</v>
      </c>
      <c r="E51" s="109">
        <f>H51-K51</f>
        <v>-186</v>
      </c>
      <c r="F51" s="41">
        <v>-327</v>
      </c>
      <c r="G51" s="38">
        <v>-286</v>
      </c>
      <c r="H51" s="38">
        <v>-244</v>
      </c>
      <c r="J51" s="41">
        <v>-169</v>
      </c>
      <c r="K51" s="38">
        <v>-58</v>
      </c>
    </row>
    <row r="52" spans="1:11" ht="12" customHeight="1">
      <c r="A52" s="30" t="s">
        <v>36</v>
      </c>
      <c r="B52" s="5"/>
      <c r="C52" s="39">
        <f aca="true" t="shared" si="11" ref="C52:H52">SUM(C50:C51)</f>
        <v>295</v>
      </c>
      <c r="D52" s="40">
        <f t="shared" si="11"/>
        <v>239</v>
      </c>
      <c r="E52" s="40">
        <f t="shared" si="11"/>
        <v>-75</v>
      </c>
      <c r="F52" s="39">
        <f t="shared" si="11"/>
        <v>417</v>
      </c>
      <c r="G52" s="40">
        <f t="shared" si="11"/>
        <v>361</v>
      </c>
      <c r="H52" s="40">
        <f t="shared" si="11"/>
        <v>1150</v>
      </c>
      <c r="J52" s="39">
        <f>SUM(J50:J51)</f>
        <v>122</v>
      </c>
      <c r="K52" s="40">
        <f>SUM(K50:K51)</f>
        <v>1225</v>
      </c>
    </row>
    <row r="53" spans="1:11" ht="12" customHeight="1">
      <c r="A53" s="30" t="s">
        <v>37</v>
      </c>
      <c r="B53" s="5"/>
      <c r="C53" s="108">
        <f t="shared" si="8"/>
        <v>0</v>
      </c>
      <c r="D53" s="109">
        <f>G53-J53</f>
        <v>0</v>
      </c>
      <c r="E53" s="109">
        <f>H53-K53</f>
        <v>-25</v>
      </c>
      <c r="F53" s="42">
        <v>-68</v>
      </c>
      <c r="G53" s="43">
        <v>-68</v>
      </c>
      <c r="H53" s="36">
        <v>-587</v>
      </c>
      <c r="J53" s="42">
        <v>-68</v>
      </c>
      <c r="K53" s="43">
        <v>-562</v>
      </c>
    </row>
    <row r="54" spans="1:11" ht="12" customHeight="1">
      <c r="A54" s="30" t="s">
        <v>38</v>
      </c>
      <c r="B54" s="5"/>
      <c r="C54" s="39">
        <f aca="true" t="shared" si="12" ref="C54:H54">SUM(C52:C53)</f>
        <v>295</v>
      </c>
      <c r="D54" s="40">
        <f t="shared" si="12"/>
        <v>239</v>
      </c>
      <c r="E54" s="40">
        <f t="shared" si="12"/>
        <v>-100</v>
      </c>
      <c r="F54" s="39">
        <f t="shared" si="12"/>
        <v>349</v>
      </c>
      <c r="G54" s="40">
        <f t="shared" si="12"/>
        <v>293</v>
      </c>
      <c r="H54" s="40">
        <f t="shared" si="12"/>
        <v>563</v>
      </c>
      <c r="J54" s="39">
        <f>SUM(J52:J53)</f>
        <v>54</v>
      </c>
      <c r="K54" s="40">
        <f>SUM(K52:K53)</f>
        <v>663</v>
      </c>
    </row>
    <row r="55" spans="1:11" ht="12" customHeight="1">
      <c r="A55" s="30" t="s">
        <v>39</v>
      </c>
      <c r="B55" s="5"/>
      <c r="C55" s="108">
        <f t="shared" si="8"/>
        <v>-69</v>
      </c>
      <c r="D55" s="109">
        <f>G55-J55</f>
        <v>-70</v>
      </c>
      <c r="E55" s="109">
        <f>H55-K55</f>
        <v>-105</v>
      </c>
      <c r="F55" s="41">
        <v>-339</v>
      </c>
      <c r="G55" s="38">
        <v>-340</v>
      </c>
      <c r="H55" s="36">
        <v>355</v>
      </c>
      <c r="J55" s="41">
        <v>-270</v>
      </c>
      <c r="K55" s="38">
        <v>460</v>
      </c>
    </row>
    <row r="56" spans="1:11" ht="12" customHeight="1">
      <c r="A56" s="22" t="s">
        <v>150</v>
      </c>
      <c r="B56" s="23"/>
      <c r="C56" s="44">
        <f aca="true" t="shared" si="13" ref="C56:H56">SUM(C54:C55)</f>
        <v>226</v>
      </c>
      <c r="D56" s="45">
        <f t="shared" si="13"/>
        <v>169</v>
      </c>
      <c r="E56" s="45">
        <f t="shared" si="13"/>
        <v>-205</v>
      </c>
      <c r="F56" s="44">
        <f t="shared" si="13"/>
        <v>10</v>
      </c>
      <c r="G56" s="45">
        <f t="shared" si="13"/>
        <v>-47</v>
      </c>
      <c r="H56" s="45">
        <f t="shared" si="13"/>
        <v>918</v>
      </c>
      <c r="J56" s="44">
        <f>SUM(J54:J55)</f>
        <v>-216</v>
      </c>
      <c r="K56" s="45">
        <f>SUM(K54:K55)</f>
        <v>1123</v>
      </c>
    </row>
    <row r="57" spans="2:8" ht="12" customHeight="1">
      <c r="B57" s="24"/>
      <c r="C57" s="24"/>
      <c r="D57" s="24"/>
      <c r="E57" s="25"/>
      <c r="F57" s="26"/>
      <c r="G57" s="25"/>
      <c r="H57" s="26"/>
    </row>
    <row r="58" spans="1:8" ht="12" customHeight="1">
      <c r="A58" s="119" t="s">
        <v>171</v>
      </c>
      <c r="B58" s="24"/>
      <c r="C58" s="24"/>
      <c r="D58" s="24"/>
      <c r="E58" s="25"/>
      <c r="F58" s="26"/>
      <c r="G58" s="25"/>
      <c r="H58" s="26"/>
    </row>
    <row r="59" spans="1:8" ht="12" customHeight="1">
      <c r="A59" s="119" t="s">
        <v>172</v>
      </c>
      <c r="B59" s="24"/>
      <c r="C59" s="24"/>
      <c r="D59" s="24"/>
      <c r="E59" s="25"/>
      <c r="F59" s="26"/>
      <c r="G59" s="25"/>
      <c r="H59" s="26"/>
    </row>
    <row r="60" spans="1:8" ht="12" customHeight="1">
      <c r="A60" s="24" t="s">
        <v>173</v>
      </c>
      <c r="B60" s="24"/>
      <c r="C60" s="24"/>
      <c r="D60" s="24"/>
      <c r="E60" s="25"/>
      <c r="F60" s="26"/>
      <c r="G60" s="25"/>
      <c r="H60" s="26"/>
    </row>
    <row r="61" spans="1:8" ht="12" customHeight="1">
      <c r="A61" s="24"/>
      <c r="B61" s="24"/>
      <c r="C61" s="24"/>
      <c r="D61" s="24"/>
      <c r="E61" s="25"/>
      <c r="F61" s="26"/>
      <c r="G61" s="25"/>
      <c r="H61" s="26"/>
    </row>
    <row r="62" spans="1:8" ht="12" customHeight="1">
      <c r="A62" s="5"/>
      <c r="B62" s="5"/>
      <c r="C62" s="6"/>
      <c r="D62" s="6"/>
      <c r="E62" s="6"/>
      <c r="F62" s="6"/>
      <c r="G62" s="6"/>
      <c r="H62" s="8">
        <v>1</v>
      </c>
    </row>
    <row r="63" spans="1:9" ht="30" customHeight="1">
      <c r="A63" s="1" t="s">
        <v>0</v>
      </c>
      <c r="C63" s="9" t="str">
        <f>C1</f>
        <v>DEFINITIV BOKSLUTSKOMMUNIKE 2000</v>
      </c>
      <c r="E63" s="10"/>
      <c r="F63" s="11"/>
      <c r="G63" s="11"/>
      <c r="I63" s="15">
        <f ca="1">NOW()</f>
        <v>36942.475573958334</v>
      </c>
    </row>
    <row r="64" spans="3:8" ht="12" customHeight="1">
      <c r="C64" s="10"/>
      <c r="D64" s="10"/>
      <c r="E64" s="10"/>
      <c r="F64" s="10"/>
      <c r="G64" s="10"/>
      <c r="H64" s="126"/>
    </row>
    <row r="65" spans="3:8" ht="12" customHeight="1">
      <c r="C65" s="10"/>
      <c r="D65" s="10"/>
      <c r="E65" s="10"/>
      <c r="F65" s="10"/>
      <c r="G65" s="10"/>
      <c r="H65" s="15"/>
    </row>
    <row r="66" spans="1:8" ht="15" customHeight="1">
      <c r="A66" s="17" t="s">
        <v>40</v>
      </c>
      <c r="B66" s="18"/>
      <c r="C66" s="49"/>
      <c r="D66" s="49"/>
      <c r="E66" s="49"/>
      <c r="F66" s="49"/>
      <c r="G66" s="49"/>
      <c r="H66" s="51"/>
    </row>
    <row r="67" spans="1:11" ht="15" customHeight="1">
      <c r="A67" s="60"/>
      <c r="B67" s="16"/>
      <c r="C67" s="140"/>
      <c r="D67" s="138" t="s">
        <v>160</v>
      </c>
      <c r="E67" s="133"/>
      <c r="F67" s="137"/>
      <c r="G67" s="138" t="s">
        <v>181</v>
      </c>
      <c r="H67" s="139"/>
      <c r="J67" s="27" t="s">
        <v>156</v>
      </c>
      <c r="K67" s="28"/>
    </row>
    <row r="68" spans="1:11" ht="15" customHeight="1">
      <c r="A68" s="22" t="s">
        <v>2</v>
      </c>
      <c r="B68" s="23"/>
      <c r="C68" s="48" t="s">
        <v>182</v>
      </c>
      <c r="D68" s="48" t="s">
        <v>183</v>
      </c>
      <c r="E68" s="48" t="s">
        <v>184</v>
      </c>
      <c r="F68" s="48" t="s">
        <v>182</v>
      </c>
      <c r="G68" s="48" t="s">
        <v>183</v>
      </c>
      <c r="H68" s="48" t="s">
        <v>184</v>
      </c>
      <c r="J68" s="46">
        <v>2000</v>
      </c>
      <c r="K68" s="46">
        <v>1999</v>
      </c>
    </row>
    <row r="69" spans="1:11" ht="12" customHeight="1">
      <c r="A69" s="29"/>
      <c r="B69" s="5"/>
      <c r="C69" s="34"/>
      <c r="D69" s="34"/>
      <c r="E69" s="34"/>
      <c r="F69" s="34"/>
      <c r="G69" s="34"/>
      <c r="H69" s="34"/>
      <c r="J69" s="34"/>
      <c r="K69" s="34"/>
    </row>
    <row r="70" spans="1:11" ht="12" customHeight="1">
      <c r="A70" s="61" t="s">
        <v>151</v>
      </c>
      <c r="B70" s="5"/>
      <c r="C70" s="59"/>
      <c r="D70" s="59"/>
      <c r="E70" s="59"/>
      <c r="F70" s="59"/>
      <c r="G70" s="59"/>
      <c r="H70" s="59"/>
      <c r="J70" s="59"/>
      <c r="K70" s="59"/>
    </row>
    <row r="71" spans="1:11" ht="12" customHeight="1">
      <c r="A71" s="30" t="s">
        <v>41</v>
      </c>
      <c r="B71" s="5"/>
      <c r="C71" s="62">
        <f aca="true" t="shared" si="14" ref="C71:H71">(C10/C8)</f>
        <v>0.2759784075573549</v>
      </c>
      <c r="D71" s="63">
        <f t="shared" si="14"/>
        <v>0.2759784075573549</v>
      </c>
      <c r="E71" s="63">
        <f t="shared" si="14"/>
        <v>0.2850741123750431</v>
      </c>
      <c r="F71" s="62">
        <f t="shared" si="14"/>
        <v>0.27498873366381255</v>
      </c>
      <c r="G71" s="63">
        <f t="shared" si="14"/>
        <v>0.27498873366381255</v>
      </c>
      <c r="H71" s="63">
        <f t="shared" si="14"/>
        <v>0.2677805575411008</v>
      </c>
      <c r="J71" s="62">
        <f>(J10/J8)</f>
        <v>0.27462796703972453</v>
      </c>
      <c r="K71" s="63">
        <f>(K10/K8)</f>
        <v>0.2617295862983959</v>
      </c>
    </row>
    <row r="72" spans="1:11" ht="12" customHeight="1">
      <c r="A72" s="30" t="s">
        <v>42</v>
      </c>
      <c r="B72" s="5"/>
      <c r="C72" s="62">
        <f aca="true" t="shared" si="15" ref="C72:H72">-(C11+C12+C14+C15)/C8</f>
        <v>0.21052631578947367</v>
      </c>
      <c r="D72" s="63">
        <f t="shared" si="15"/>
        <v>0.21052631578947367</v>
      </c>
      <c r="E72" s="114">
        <f t="shared" si="15"/>
        <v>0.29713891761461564</v>
      </c>
      <c r="F72" s="124">
        <f t="shared" si="15"/>
        <v>0.23397926994141505</v>
      </c>
      <c r="G72" s="134">
        <f t="shared" si="15"/>
        <v>0.23397926994141505</v>
      </c>
      <c r="H72" s="114">
        <f t="shared" si="15"/>
        <v>0.26313438170121517</v>
      </c>
      <c r="J72" s="62">
        <f>-(J11+J12+J14+J15)/J8</f>
        <v>0.24252859426884762</v>
      </c>
      <c r="K72" s="80">
        <f>-(K11+K12+K14+K15)/K8+0.001</f>
        <v>0.252236280303944</v>
      </c>
    </row>
    <row r="73" spans="1:11" ht="12" customHeight="1">
      <c r="A73" s="30" t="s">
        <v>43</v>
      </c>
      <c r="B73" s="5"/>
      <c r="C73" s="62">
        <f aca="true" t="shared" si="16" ref="C73:H73">(C16-C13)/C8</f>
        <v>0.06545209176788123</v>
      </c>
      <c r="D73" s="63">
        <f t="shared" si="16"/>
        <v>0.06545209176788123</v>
      </c>
      <c r="E73" s="63">
        <f t="shared" si="16"/>
        <v>-0.012064805239572561</v>
      </c>
      <c r="F73" s="62">
        <f t="shared" si="16"/>
        <v>0.04100946372239748</v>
      </c>
      <c r="G73" s="63">
        <f t="shared" si="16"/>
        <v>0.04100946372239748</v>
      </c>
      <c r="H73" s="63">
        <f t="shared" si="16"/>
        <v>0.004646175839885632</v>
      </c>
      <c r="J73" s="62">
        <f>(J16-J13)/J8</f>
        <v>0.03209937277087689</v>
      </c>
      <c r="K73" s="63">
        <f>(K16-K13)/K8</f>
        <v>0.010493305994451816</v>
      </c>
    </row>
    <row r="74" spans="1:11" ht="12" customHeight="1">
      <c r="A74" s="30" t="s">
        <v>44</v>
      </c>
      <c r="B74" s="5"/>
      <c r="C74" s="125">
        <f>ROUND((C20-C13-6)/$G89*1000000,1)</f>
        <v>2</v>
      </c>
      <c r="D74" s="118">
        <f>ROUND((D20-D13-6)/$G89*1000000,1)</f>
        <v>2</v>
      </c>
      <c r="E74" s="118">
        <f>ROUND((E20-E13-14)/$G89*1000000,1)</f>
        <v>-2.7</v>
      </c>
      <c r="F74" s="73">
        <f>ROUND((F20-F13-7)/$G89*1000000,1)</f>
        <v>4.7</v>
      </c>
      <c r="G74" s="74">
        <f>ROUND((G20-G13-6)/$G89*1000000,1)</f>
        <v>4.7</v>
      </c>
      <c r="H74" s="74">
        <f>ROUND((H20-H13-22)/$G89*1000000,1)</f>
        <v>-2</v>
      </c>
      <c r="J74" s="73">
        <f>ROUND((J20-J13)/$G89*1000000,1)</f>
        <v>2.7</v>
      </c>
      <c r="K74" s="118">
        <f>ROUND((K20-K13-14)/$G89*1000000,1)</f>
        <v>0.5</v>
      </c>
    </row>
    <row r="75" spans="1:11" ht="12" customHeight="1">
      <c r="A75" s="61" t="s">
        <v>152</v>
      </c>
      <c r="B75" s="5"/>
      <c r="C75" s="59"/>
      <c r="D75" s="59"/>
      <c r="E75" s="59"/>
      <c r="F75" s="59"/>
      <c r="G75" s="59"/>
      <c r="H75" s="59"/>
      <c r="J75" s="59"/>
      <c r="K75" s="59"/>
    </row>
    <row r="76" spans="1:11" ht="12" customHeight="1">
      <c r="A76" s="30" t="s">
        <v>41</v>
      </c>
      <c r="B76" s="5"/>
      <c r="C76" s="62">
        <f aca="true" t="shared" si="17" ref="C76:H76">(C10/C8)</f>
        <v>0.2759784075573549</v>
      </c>
      <c r="D76" s="63">
        <f t="shared" si="17"/>
        <v>0.2759784075573549</v>
      </c>
      <c r="E76" s="63">
        <f t="shared" si="17"/>
        <v>0.2850741123750431</v>
      </c>
      <c r="F76" s="62">
        <f t="shared" si="17"/>
        <v>0.27498873366381255</v>
      </c>
      <c r="G76" s="63">
        <f t="shared" si="17"/>
        <v>0.27498873366381255</v>
      </c>
      <c r="H76" s="63">
        <f t="shared" si="17"/>
        <v>0.2677805575411008</v>
      </c>
      <c r="J76" s="62">
        <f>(J10/J8)</f>
        <v>0.27462796703972453</v>
      </c>
      <c r="K76" s="63">
        <f>(K10/K8)</f>
        <v>0.2617295862983959</v>
      </c>
    </row>
    <row r="77" spans="1:11" ht="12" customHeight="1">
      <c r="A77" s="30" t="s">
        <v>42</v>
      </c>
      <c r="B77" s="5"/>
      <c r="C77" s="62">
        <f>-SUM(C11:C15)/C8</f>
        <v>0.21187584345479082</v>
      </c>
      <c r="D77" s="63">
        <f>-SUM(D11:D15)/D8</f>
        <v>0.21187584345479082</v>
      </c>
      <c r="E77" s="80">
        <f>-SUM(E11:E15)/E8-0.001</f>
        <v>0.3475005170630817</v>
      </c>
      <c r="F77" s="62">
        <f>-SUM(F11:F15)/F8</f>
        <v>0.23433979269941416</v>
      </c>
      <c r="G77" s="63">
        <f>-SUM(G11:G15)/G8</f>
        <v>0.23433979269941416</v>
      </c>
      <c r="H77" s="80">
        <f>-SUM(H11:H15)/H8+0.0001</f>
        <v>0.2795853466761973</v>
      </c>
      <c r="J77" s="62">
        <f>-SUM(J11:J15)/J8</f>
        <v>0.24252859426884762</v>
      </c>
      <c r="K77" s="80">
        <f>-SUM(K11:K15)/K8+0.001</f>
        <v>0.25633711253166086</v>
      </c>
    </row>
    <row r="78" spans="1:11" ht="12" customHeight="1">
      <c r="A78" s="30" t="s">
        <v>43</v>
      </c>
      <c r="B78" s="5"/>
      <c r="C78" s="62">
        <f aca="true" t="shared" si="18" ref="C78:H78">(C16/C8)</f>
        <v>0.0641025641025641</v>
      </c>
      <c r="D78" s="63">
        <f t="shared" si="18"/>
        <v>0.0641025641025641</v>
      </c>
      <c r="E78" s="63">
        <f t="shared" si="18"/>
        <v>-0.0634264046880386</v>
      </c>
      <c r="F78" s="62">
        <f t="shared" si="18"/>
        <v>0.040648940964398375</v>
      </c>
      <c r="G78" s="63">
        <f t="shared" si="18"/>
        <v>0.040648940964398375</v>
      </c>
      <c r="H78" s="63">
        <f t="shared" si="18"/>
        <v>-0.011704789135096497</v>
      </c>
      <c r="J78" s="62">
        <f>(J16/J8)</f>
        <v>0.03209937277087689</v>
      </c>
      <c r="K78" s="63">
        <f>(K16/K8)</f>
        <v>0.006392473766735014</v>
      </c>
    </row>
    <row r="79" spans="1:11" ht="12" customHeight="1">
      <c r="A79" s="30" t="s">
        <v>44</v>
      </c>
      <c r="B79" s="5"/>
      <c r="C79" s="73">
        <f aca="true" t="shared" si="19" ref="C79:H79">ROUND(C20/34.234,1)</f>
        <v>2.1</v>
      </c>
      <c r="D79" s="74">
        <f t="shared" si="19"/>
        <v>2.1</v>
      </c>
      <c r="E79" s="74">
        <f t="shared" si="19"/>
        <v>-6.6</v>
      </c>
      <c r="F79" s="73">
        <f t="shared" si="19"/>
        <v>4.8</v>
      </c>
      <c r="G79" s="74">
        <f t="shared" si="19"/>
        <v>4.8</v>
      </c>
      <c r="H79" s="74">
        <f t="shared" si="19"/>
        <v>-6.7</v>
      </c>
      <c r="J79" s="73">
        <f>ROUND(J20/34.234,1)</f>
        <v>2.7</v>
      </c>
      <c r="K79" s="74">
        <f>ROUND(K20/34.234,1)</f>
        <v>-0.1</v>
      </c>
    </row>
    <row r="80" spans="1:11" ht="12" customHeight="1">
      <c r="A80" s="30" t="s">
        <v>45</v>
      </c>
      <c r="B80" s="5"/>
      <c r="C80" s="108">
        <f>F80-J80</f>
        <v>128</v>
      </c>
      <c r="D80" s="109">
        <f>G80-J80</f>
        <v>128</v>
      </c>
      <c r="E80" s="109">
        <f>H80-K80</f>
        <v>312</v>
      </c>
      <c r="F80" s="35">
        <v>473</v>
      </c>
      <c r="G80" s="36">
        <v>473</v>
      </c>
      <c r="H80" s="36">
        <v>716</v>
      </c>
      <c r="J80" s="35">
        <v>345</v>
      </c>
      <c r="K80" s="36">
        <v>404</v>
      </c>
    </row>
    <row r="81" spans="1:8" ht="12" customHeight="1">
      <c r="A81" s="30" t="s">
        <v>46</v>
      </c>
      <c r="B81" s="5"/>
      <c r="C81" s="69"/>
      <c r="D81" s="69"/>
      <c r="E81" s="70"/>
      <c r="F81" s="78">
        <f>(F82/F78)</f>
        <v>2.0172727272727276</v>
      </c>
      <c r="G81" s="79">
        <f>(G82/G78)</f>
        <v>1.9926718403547674</v>
      </c>
      <c r="H81" s="130">
        <v>2</v>
      </c>
    </row>
    <row r="82" spans="1:8" ht="12" customHeight="1">
      <c r="A82" s="30" t="s">
        <v>47</v>
      </c>
      <c r="B82" s="5"/>
      <c r="C82" s="64"/>
      <c r="D82" s="64"/>
      <c r="E82" s="65"/>
      <c r="F82" s="66">
        <v>0.082</v>
      </c>
      <c r="G82" s="135">
        <v>0.081</v>
      </c>
      <c r="H82" s="129" t="s">
        <v>170</v>
      </c>
    </row>
    <row r="83" spans="1:8" ht="12" customHeight="1">
      <c r="A83" s="30" t="s">
        <v>48</v>
      </c>
      <c r="B83" s="5"/>
      <c r="C83" s="64"/>
      <c r="D83" s="64"/>
      <c r="E83" s="65"/>
      <c r="F83" s="66">
        <v>0.063</v>
      </c>
      <c r="G83" s="135">
        <v>0.063</v>
      </c>
      <c r="H83" s="129" t="s">
        <v>170</v>
      </c>
    </row>
    <row r="84" spans="1:8" ht="12" customHeight="1">
      <c r="A84" s="30" t="s">
        <v>49</v>
      </c>
      <c r="B84" s="5"/>
      <c r="C84" s="64"/>
      <c r="D84" s="64"/>
      <c r="E84" s="65"/>
      <c r="F84" s="37">
        <f>SUM(C27:C32)-SUM(C38:C39)</f>
        <v>5492</v>
      </c>
      <c r="G84" s="75">
        <f>SUM(D27:D32)-SUM(D38:D39)</f>
        <v>5549</v>
      </c>
      <c r="H84" s="75">
        <f>SUM(H27:H32)-SUM(H38:H39)</f>
        <v>5511</v>
      </c>
    </row>
    <row r="85" spans="1:8" ht="12" customHeight="1">
      <c r="A85" s="30" t="s">
        <v>50</v>
      </c>
      <c r="B85" s="5"/>
      <c r="C85" s="64"/>
      <c r="D85" s="64"/>
      <c r="E85" s="65"/>
      <c r="F85" s="37">
        <f>SUM(C36:C37)-C26</f>
        <v>2904</v>
      </c>
      <c r="G85" s="75">
        <f>SUM(D36:D37)-D26</f>
        <v>2961</v>
      </c>
      <c r="H85" s="75">
        <f>SUM(H36:H37)-H26</f>
        <v>2914</v>
      </c>
    </row>
    <row r="86" spans="1:8" ht="12" customHeight="1">
      <c r="A86" s="30" t="s">
        <v>51</v>
      </c>
      <c r="B86" s="5"/>
      <c r="C86" s="64"/>
      <c r="D86" s="64"/>
      <c r="E86" s="67"/>
      <c r="F86" s="73">
        <f>ROUND(C35/34.234,1)</f>
        <v>75.6</v>
      </c>
      <c r="G86" s="74">
        <f>ROUND(D35/34.234,1)</f>
        <v>75.6</v>
      </c>
      <c r="H86" s="74">
        <f>ROUND(H35/H89*1000000,1)</f>
        <v>75.8</v>
      </c>
    </row>
    <row r="87" spans="1:8" ht="12" customHeight="1">
      <c r="A87" s="30" t="s">
        <v>52</v>
      </c>
      <c r="B87" s="5"/>
      <c r="C87" s="64"/>
      <c r="D87" s="64"/>
      <c r="E87" s="68"/>
      <c r="F87" s="62">
        <f>(C35/C40)</f>
        <v>0.28458324169782273</v>
      </c>
      <c r="G87" s="63">
        <f>(D35/D40)</f>
        <v>0.2873639795691761</v>
      </c>
      <c r="H87" s="63">
        <f>(H35/H40)</f>
        <v>0.2819761129207383</v>
      </c>
    </row>
    <row r="88" spans="1:8" ht="12" customHeight="1">
      <c r="A88" s="30" t="s">
        <v>53</v>
      </c>
      <c r="B88" s="5"/>
      <c r="C88" s="64"/>
      <c r="D88" s="64"/>
      <c r="E88" s="65"/>
      <c r="F88" s="35">
        <v>6398</v>
      </c>
      <c r="G88" s="36">
        <v>6398</v>
      </c>
      <c r="H88" s="36">
        <v>7038</v>
      </c>
    </row>
    <row r="89" spans="1:8" ht="12" customHeight="1">
      <c r="A89" s="22" t="s">
        <v>54</v>
      </c>
      <c r="B89" s="23"/>
      <c r="C89" s="71"/>
      <c r="D89" s="71"/>
      <c r="E89" s="72"/>
      <c r="F89" s="76">
        <v>34239628</v>
      </c>
      <c r="G89" s="77">
        <v>34239628</v>
      </c>
      <c r="H89" s="77">
        <v>34239628</v>
      </c>
    </row>
    <row r="90" spans="1:8" ht="12" customHeight="1">
      <c r="A90" s="5"/>
      <c r="B90" s="5"/>
      <c r="C90" s="6"/>
      <c r="D90" s="6"/>
      <c r="E90" s="12"/>
      <c r="F90" s="13"/>
      <c r="G90" s="7"/>
      <c r="H90" s="13"/>
    </row>
    <row r="91" spans="1:8" ht="15" customHeight="1">
      <c r="A91" s="17" t="s">
        <v>116</v>
      </c>
      <c r="B91" s="18"/>
      <c r="C91" s="49"/>
      <c r="D91" s="49"/>
      <c r="E91" s="49"/>
      <c r="F91" s="49"/>
      <c r="G91" s="49"/>
      <c r="H91" s="51"/>
    </row>
    <row r="92" spans="1:11" ht="15" customHeight="1">
      <c r="A92" s="60"/>
      <c r="B92" s="16"/>
      <c r="C92" s="140"/>
      <c r="D92" s="138" t="s">
        <v>160</v>
      </c>
      <c r="E92" s="133"/>
      <c r="F92" s="137"/>
      <c r="G92" s="138" t="s">
        <v>181</v>
      </c>
      <c r="H92" s="139"/>
      <c r="J92" s="27" t="s">
        <v>156</v>
      </c>
      <c r="K92" s="28"/>
    </row>
    <row r="93" spans="1:11" ht="15" customHeight="1">
      <c r="A93" s="22" t="s">
        <v>2</v>
      </c>
      <c r="B93" s="23"/>
      <c r="C93" s="48" t="s">
        <v>182</v>
      </c>
      <c r="D93" s="48" t="s">
        <v>183</v>
      </c>
      <c r="E93" s="48" t="s">
        <v>184</v>
      </c>
      <c r="F93" s="48" t="s">
        <v>182</v>
      </c>
      <c r="G93" s="48" t="s">
        <v>183</v>
      </c>
      <c r="H93" s="48" t="s">
        <v>184</v>
      </c>
      <c r="J93" s="46">
        <v>2000</v>
      </c>
      <c r="K93" s="46">
        <v>1999</v>
      </c>
    </row>
    <row r="94" spans="1:11" ht="12" customHeight="1">
      <c r="A94" s="29"/>
      <c r="B94" s="52"/>
      <c r="C94" s="33"/>
      <c r="D94" s="33"/>
      <c r="E94" s="33"/>
      <c r="F94" s="33"/>
      <c r="G94" s="33"/>
      <c r="H94" s="33"/>
      <c r="J94" s="33"/>
      <c r="K94" s="33"/>
    </row>
    <row r="95" spans="1:11" ht="12" customHeight="1">
      <c r="A95" s="30" t="s">
        <v>157</v>
      </c>
      <c r="B95" s="24"/>
      <c r="C95" s="108">
        <f>F95-J95</f>
        <v>1764</v>
      </c>
      <c r="D95" s="109">
        <f aca="true" t="shared" si="20" ref="D95:E99">G95-J95</f>
        <v>1764</v>
      </c>
      <c r="E95" s="109">
        <f t="shared" si="20"/>
        <v>1763</v>
      </c>
      <c r="F95" s="41">
        <v>6523</v>
      </c>
      <c r="G95" s="38">
        <v>6523</v>
      </c>
      <c r="H95" s="38">
        <v>6368</v>
      </c>
      <c r="J95" s="41">
        <v>4759</v>
      </c>
      <c r="K95" s="38">
        <v>4605</v>
      </c>
    </row>
    <row r="96" spans="1:11" ht="12" customHeight="1">
      <c r="A96" s="30" t="s">
        <v>186</v>
      </c>
      <c r="B96" s="24"/>
      <c r="C96" s="108">
        <f>F96-J96</f>
        <v>399</v>
      </c>
      <c r="D96" s="109">
        <f t="shared" si="20"/>
        <v>399</v>
      </c>
      <c r="E96" s="109">
        <f t="shared" si="20"/>
        <v>346</v>
      </c>
      <c r="F96" s="41">
        <v>1372</v>
      </c>
      <c r="G96" s="38">
        <v>1372</v>
      </c>
      <c r="H96" s="38">
        <v>1287</v>
      </c>
      <c r="J96" s="41">
        <v>973</v>
      </c>
      <c r="K96" s="38">
        <v>941</v>
      </c>
    </row>
    <row r="97" spans="1:11" ht="12" customHeight="1">
      <c r="A97" s="30" t="s">
        <v>115</v>
      </c>
      <c r="B97" s="24"/>
      <c r="C97" s="108">
        <f>F97-J97</f>
        <v>203</v>
      </c>
      <c r="D97" s="109">
        <f t="shared" si="20"/>
        <v>203</v>
      </c>
      <c r="E97" s="109">
        <f t="shared" si="20"/>
        <v>176</v>
      </c>
      <c r="F97" s="41">
        <v>800</v>
      </c>
      <c r="G97" s="38">
        <v>800</v>
      </c>
      <c r="H97" s="38">
        <v>783</v>
      </c>
      <c r="J97" s="41">
        <v>597</v>
      </c>
      <c r="K97" s="38">
        <v>607</v>
      </c>
    </row>
    <row r="98" spans="1:11" ht="12" customHeight="1">
      <c r="A98" s="30" t="s">
        <v>118</v>
      </c>
      <c r="B98" s="24"/>
      <c r="C98" s="108">
        <f>F98-J98</f>
        <v>126</v>
      </c>
      <c r="D98" s="109">
        <f t="shared" si="20"/>
        <v>126</v>
      </c>
      <c r="E98" s="109">
        <f t="shared" si="20"/>
        <v>134</v>
      </c>
      <c r="F98" s="41">
        <v>479</v>
      </c>
      <c r="G98" s="38">
        <v>479</v>
      </c>
      <c r="H98" s="38">
        <v>481</v>
      </c>
      <c r="J98" s="41">
        <f>106+247</f>
        <v>353</v>
      </c>
      <c r="K98" s="38">
        <f>91+256</f>
        <v>347</v>
      </c>
    </row>
    <row r="99" spans="1:11" ht="12" customHeight="1">
      <c r="A99" s="30" t="s">
        <v>117</v>
      </c>
      <c r="B99" s="24"/>
      <c r="C99" s="108">
        <f>F99-J99</f>
        <v>472</v>
      </c>
      <c r="D99" s="109">
        <f t="shared" si="20"/>
        <v>472</v>
      </c>
      <c r="E99" s="109">
        <f t="shared" si="20"/>
        <v>484</v>
      </c>
      <c r="F99" s="41">
        <v>1921</v>
      </c>
      <c r="G99" s="38">
        <v>1921</v>
      </c>
      <c r="H99" s="38">
        <f>+H8-SUM(H95:H98)</f>
        <v>2273</v>
      </c>
      <c r="J99" s="41">
        <v>1449</v>
      </c>
      <c r="K99" s="38">
        <v>1789</v>
      </c>
    </row>
    <row r="100" spans="1:11" ht="12" customHeight="1">
      <c r="A100" s="22" t="s">
        <v>155</v>
      </c>
      <c r="B100" s="23"/>
      <c r="C100" s="44">
        <f aca="true" t="shared" si="21" ref="C100:H100">SUM(C95:C99)</f>
        <v>2964</v>
      </c>
      <c r="D100" s="45">
        <f t="shared" si="21"/>
        <v>2964</v>
      </c>
      <c r="E100" s="45">
        <f t="shared" si="21"/>
        <v>2903</v>
      </c>
      <c r="F100" s="44">
        <f t="shared" si="21"/>
        <v>11095</v>
      </c>
      <c r="G100" s="45">
        <f t="shared" si="21"/>
        <v>11095</v>
      </c>
      <c r="H100" s="45">
        <f t="shared" si="21"/>
        <v>11192</v>
      </c>
      <c r="J100" s="44">
        <f>SUM(J95:J99)</f>
        <v>8131</v>
      </c>
      <c r="K100" s="45">
        <f>SUM(K95:K99)</f>
        <v>8289</v>
      </c>
    </row>
    <row r="101" ht="12" customHeight="1">
      <c r="F101" s="123"/>
    </row>
    <row r="102" spans="1:8" ht="15" customHeight="1">
      <c r="A102" s="17" t="s">
        <v>145</v>
      </c>
      <c r="B102" s="18"/>
      <c r="C102" s="49"/>
      <c r="D102" s="49"/>
      <c r="E102" s="49"/>
      <c r="F102" s="49"/>
      <c r="G102" s="49"/>
      <c r="H102" s="51"/>
    </row>
    <row r="103" spans="1:8" ht="15" customHeight="1">
      <c r="A103" s="20"/>
      <c r="B103" s="21"/>
      <c r="C103" s="21"/>
      <c r="D103" s="21"/>
      <c r="E103" s="100"/>
      <c r="F103" s="101"/>
      <c r="G103" s="102"/>
      <c r="H103" s="47" t="s">
        <v>161</v>
      </c>
    </row>
    <row r="104" spans="1:8" ht="15" customHeight="1">
      <c r="A104" s="22" t="s">
        <v>144</v>
      </c>
      <c r="B104" s="23"/>
      <c r="C104" s="23"/>
      <c r="D104" s="23"/>
      <c r="E104" s="103"/>
      <c r="F104" s="103"/>
      <c r="G104" s="104"/>
      <c r="H104" s="48">
        <v>2000</v>
      </c>
    </row>
    <row r="105" spans="1:8" ht="12" customHeight="1">
      <c r="A105" s="29"/>
      <c r="B105" s="52"/>
      <c r="C105" s="52"/>
      <c r="D105" s="52"/>
      <c r="E105" s="52"/>
      <c r="F105" s="52"/>
      <c r="G105" s="52"/>
      <c r="H105" s="33"/>
    </row>
    <row r="106" spans="1:8" ht="12" customHeight="1">
      <c r="A106" s="30" t="s">
        <v>119</v>
      </c>
      <c r="B106" s="24"/>
      <c r="C106" s="24"/>
      <c r="D106" s="24"/>
      <c r="E106" s="24"/>
      <c r="F106" s="24"/>
      <c r="G106" s="24"/>
      <c r="H106" s="105">
        <v>0.35</v>
      </c>
    </row>
    <row r="107" spans="1:8" ht="12" customHeight="1">
      <c r="A107" s="30" t="s">
        <v>120</v>
      </c>
      <c r="B107" s="24"/>
      <c r="C107" s="24"/>
      <c r="D107" s="24"/>
      <c r="E107" s="24"/>
      <c r="F107" s="24"/>
      <c r="G107" s="24"/>
      <c r="H107" s="105">
        <v>0.17</v>
      </c>
    </row>
    <row r="108" spans="1:8" ht="12" customHeight="1">
      <c r="A108" s="30" t="s">
        <v>121</v>
      </c>
      <c r="B108" s="24"/>
      <c r="C108" s="24"/>
      <c r="D108" s="24"/>
      <c r="E108" s="24"/>
      <c r="F108" s="24"/>
      <c r="G108" s="24"/>
      <c r="H108" s="105">
        <v>0.06</v>
      </c>
    </row>
    <row r="109" spans="1:8" ht="12" customHeight="1">
      <c r="A109" s="30" t="s">
        <v>122</v>
      </c>
      <c r="B109" s="24"/>
      <c r="C109" s="24"/>
      <c r="D109" s="24"/>
      <c r="E109" s="24"/>
      <c r="F109" s="24"/>
      <c r="G109" s="24"/>
      <c r="H109" s="105">
        <v>0.05</v>
      </c>
    </row>
    <row r="110" spans="1:8" ht="12" customHeight="1">
      <c r="A110" s="30" t="s">
        <v>123</v>
      </c>
      <c r="B110" s="24"/>
      <c r="C110" s="24"/>
      <c r="D110" s="24"/>
      <c r="E110" s="24"/>
      <c r="F110" s="24"/>
      <c r="G110" s="24"/>
      <c r="H110" s="105">
        <v>0.04</v>
      </c>
    </row>
    <row r="111" spans="1:8" ht="12" customHeight="1">
      <c r="A111" s="30" t="s">
        <v>125</v>
      </c>
      <c r="B111" s="24"/>
      <c r="C111" s="24"/>
      <c r="D111" s="24"/>
      <c r="E111" s="24"/>
      <c r="F111" s="24"/>
      <c r="G111" s="24"/>
      <c r="H111" s="105">
        <v>0.04</v>
      </c>
    </row>
    <row r="112" spans="1:8" ht="12" customHeight="1">
      <c r="A112" s="30" t="s">
        <v>128</v>
      </c>
      <c r="B112" s="24"/>
      <c r="C112" s="24"/>
      <c r="D112" s="24"/>
      <c r="E112" s="24"/>
      <c r="F112" s="24"/>
      <c r="G112" s="24"/>
      <c r="H112" s="105">
        <v>0.04</v>
      </c>
    </row>
    <row r="113" spans="1:8" ht="12" customHeight="1">
      <c r="A113" s="30" t="s">
        <v>126</v>
      </c>
      <c r="B113" s="24"/>
      <c r="C113" s="24"/>
      <c r="D113" s="24"/>
      <c r="E113" s="24"/>
      <c r="F113" s="24"/>
      <c r="G113" s="24"/>
      <c r="H113" s="105">
        <v>0.03</v>
      </c>
    </row>
    <row r="114" spans="1:8" ht="12" customHeight="1">
      <c r="A114" s="30" t="s">
        <v>124</v>
      </c>
      <c r="B114" s="24"/>
      <c r="C114" s="24"/>
      <c r="D114" s="24"/>
      <c r="E114" s="24"/>
      <c r="F114" s="24"/>
      <c r="G114" s="24"/>
      <c r="H114" s="105">
        <v>0.03</v>
      </c>
    </row>
    <row r="115" spans="1:8" ht="12" customHeight="1">
      <c r="A115" s="30" t="s">
        <v>127</v>
      </c>
      <c r="B115" s="24"/>
      <c r="C115" s="24"/>
      <c r="D115" s="24"/>
      <c r="E115" s="24"/>
      <c r="F115" s="24"/>
      <c r="G115" s="24"/>
      <c r="H115" s="105">
        <v>0.03</v>
      </c>
    </row>
    <row r="116" spans="1:8" ht="12" customHeight="1">
      <c r="A116" s="30" t="s">
        <v>129</v>
      </c>
      <c r="B116" s="24"/>
      <c r="C116" s="24"/>
      <c r="D116" s="24"/>
      <c r="E116" s="24"/>
      <c r="F116" s="24"/>
      <c r="G116" s="24"/>
      <c r="H116" s="105">
        <v>0.16</v>
      </c>
    </row>
    <row r="117" spans="1:8" ht="12" customHeight="1">
      <c r="A117" s="22" t="s">
        <v>147</v>
      </c>
      <c r="B117" s="23"/>
      <c r="C117" s="23"/>
      <c r="D117" s="23"/>
      <c r="E117" s="23"/>
      <c r="F117" s="23"/>
      <c r="G117" s="23"/>
      <c r="H117" s="117">
        <f>SUM(H106:H116)</f>
        <v>1.0000000000000002</v>
      </c>
    </row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spans="1:8" ht="12" customHeight="1">
      <c r="A124" s="5"/>
      <c r="B124" s="5"/>
      <c r="C124" s="5"/>
      <c r="D124" s="5"/>
      <c r="E124" s="5"/>
      <c r="F124" s="5"/>
      <c r="G124" s="5"/>
      <c r="H124" s="14">
        <v>2</v>
      </c>
    </row>
  </sheetData>
  <printOptions/>
  <pageMargins left="0.7874015748031497" right="0.5905511811023623" top="0.7874015748031497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124"/>
  <sheetViews>
    <sheetView defaultGridColor="0" colorId="22" workbookViewId="0" topLeftCell="A1">
      <selection activeCell="A1" sqref="A1"/>
    </sheetView>
  </sheetViews>
  <sheetFormatPr defaultColWidth="8.75390625" defaultRowHeight="12.75"/>
  <cols>
    <col min="1" max="1" width="20.75390625" style="0" customWidth="1"/>
    <col min="2" max="8" width="10.75390625" style="0" customWidth="1"/>
    <col min="9" max="9" width="9.00390625" style="0" bestFit="1" customWidth="1"/>
  </cols>
  <sheetData>
    <row r="1" spans="1:11" ht="30" customHeight="1">
      <c r="A1" s="1" t="s">
        <v>0</v>
      </c>
      <c r="C1" s="2" t="s">
        <v>175</v>
      </c>
      <c r="E1" s="4"/>
      <c r="F1" s="4"/>
      <c r="G1" s="4"/>
      <c r="H1" s="115"/>
      <c r="I1" s="15">
        <f ca="1">NOW()</f>
        <v>36942.475573958334</v>
      </c>
      <c r="K1" s="127"/>
    </row>
    <row r="2" spans="1:11" ht="12" customHeight="1">
      <c r="A2" s="4"/>
      <c r="B2" s="4"/>
      <c r="C2" s="4"/>
      <c r="E2" s="4"/>
      <c r="F2" s="4"/>
      <c r="G2" s="4"/>
      <c r="H2" s="15"/>
      <c r="K2" s="127"/>
    </row>
    <row r="3" ht="12" customHeight="1">
      <c r="K3" s="128"/>
    </row>
    <row r="4" spans="1:8" ht="15" customHeight="1">
      <c r="A4" s="17" t="s">
        <v>55</v>
      </c>
      <c r="B4" s="18"/>
      <c r="C4" s="49"/>
      <c r="D4" s="49"/>
      <c r="E4" s="49"/>
      <c r="F4" s="49"/>
      <c r="G4" s="49"/>
      <c r="H4" s="51"/>
    </row>
    <row r="5" spans="1:8" ht="15" customHeight="1">
      <c r="A5" s="20"/>
      <c r="B5" s="21"/>
      <c r="C5" s="140"/>
      <c r="D5" s="143" t="s">
        <v>162</v>
      </c>
      <c r="E5" s="144"/>
      <c r="F5" s="137"/>
      <c r="G5" s="141" t="s">
        <v>185</v>
      </c>
      <c r="H5" s="139"/>
    </row>
    <row r="6" spans="1:8" ht="15" customHeight="1">
      <c r="A6" s="22" t="s">
        <v>56</v>
      </c>
      <c r="B6" s="23"/>
      <c r="C6" s="142" t="s">
        <v>182</v>
      </c>
      <c r="D6" s="142" t="s">
        <v>183</v>
      </c>
      <c r="E6" s="142" t="s">
        <v>184</v>
      </c>
      <c r="F6" s="142" t="s">
        <v>182</v>
      </c>
      <c r="G6" s="142" t="s">
        <v>183</v>
      </c>
      <c r="H6" s="142" t="s">
        <v>184</v>
      </c>
    </row>
    <row r="7" spans="1:8" ht="12" customHeight="1">
      <c r="A7" s="29"/>
      <c r="B7" s="5"/>
      <c r="C7" s="33"/>
      <c r="D7" s="33"/>
      <c r="E7" s="33"/>
      <c r="F7" s="33"/>
      <c r="G7" s="33"/>
      <c r="H7" s="34"/>
    </row>
    <row r="8" spans="1:8" ht="12" customHeight="1">
      <c r="A8" s="30" t="s">
        <v>57</v>
      </c>
      <c r="B8" s="5"/>
      <c r="C8" s="83">
        <f>SVENSK!C8</f>
        <v>2964</v>
      </c>
      <c r="D8" s="84">
        <f>SVENSK!D8</f>
        <v>2964</v>
      </c>
      <c r="E8" s="84">
        <f>SVENSK!E8</f>
        <v>2901</v>
      </c>
      <c r="F8" s="83">
        <f>SVENSK!F8</f>
        <v>11095</v>
      </c>
      <c r="G8" s="84">
        <f>SVENSK!G8</f>
        <v>11095</v>
      </c>
      <c r="H8" s="84">
        <f>SVENSK!H8</f>
        <v>11192</v>
      </c>
    </row>
    <row r="9" spans="1:8" ht="12" customHeight="1">
      <c r="A9" s="30" t="s">
        <v>58</v>
      </c>
      <c r="B9" s="5"/>
      <c r="C9" s="83">
        <f>SVENSK!C9</f>
        <v>-2146</v>
      </c>
      <c r="D9" s="84">
        <f>SVENSK!D9</f>
        <v>-2146</v>
      </c>
      <c r="E9" s="84">
        <f>SVENSK!E9</f>
        <v>-2074</v>
      </c>
      <c r="F9" s="83">
        <f>SVENSK!F9</f>
        <v>-8044</v>
      </c>
      <c r="G9" s="84">
        <f>SVENSK!G9</f>
        <v>-8044</v>
      </c>
      <c r="H9" s="84">
        <f>SVENSK!H9</f>
        <v>-8195</v>
      </c>
    </row>
    <row r="10" spans="1:8" ht="12" customHeight="1">
      <c r="A10" s="30" t="s">
        <v>59</v>
      </c>
      <c r="B10" s="5"/>
      <c r="C10" s="39">
        <f aca="true" t="shared" si="0" ref="C10:H10">SUM(C8:C9)</f>
        <v>818</v>
      </c>
      <c r="D10" s="40">
        <f t="shared" si="0"/>
        <v>818</v>
      </c>
      <c r="E10" s="40">
        <f t="shared" si="0"/>
        <v>827</v>
      </c>
      <c r="F10" s="39">
        <f t="shared" si="0"/>
        <v>3051</v>
      </c>
      <c r="G10" s="40">
        <f t="shared" si="0"/>
        <v>3051</v>
      </c>
      <c r="H10" s="40">
        <f t="shared" si="0"/>
        <v>2997</v>
      </c>
    </row>
    <row r="11" spans="1:8" ht="12" customHeight="1">
      <c r="A11" s="30" t="s">
        <v>60</v>
      </c>
      <c r="B11" s="5"/>
      <c r="C11" s="83">
        <f>SVENSK!C11</f>
        <v>-393</v>
      </c>
      <c r="D11" s="84">
        <f>SVENSK!D11</f>
        <v>-393</v>
      </c>
      <c r="E11" s="84">
        <f>SVENSK!E11</f>
        <v>-429</v>
      </c>
      <c r="F11" s="83">
        <f>SVENSK!F11</f>
        <v>-1651</v>
      </c>
      <c r="G11" s="84">
        <f>SVENSK!G11</f>
        <v>-1651</v>
      </c>
      <c r="H11" s="84">
        <f>SVENSK!H11</f>
        <v>-1706</v>
      </c>
    </row>
    <row r="12" spans="1:8" ht="12" customHeight="1">
      <c r="A12" s="30" t="s">
        <v>61</v>
      </c>
      <c r="B12" s="5"/>
      <c r="C12" s="83">
        <f>SVENSK!C12</f>
        <v>-199</v>
      </c>
      <c r="D12" s="84">
        <f>SVENSK!D12</f>
        <v>-199</v>
      </c>
      <c r="E12" s="84">
        <f>SVENSK!E12</f>
        <v>-227</v>
      </c>
      <c r="F12" s="83">
        <f>SVENSK!F12</f>
        <v>-775</v>
      </c>
      <c r="G12" s="84">
        <f>SVENSK!G12</f>
        <v>-775</v>
      </c>
      <c r="H12" s="84">
        <f>SVENSK!H12</f>
        <v>-873</v>
      </c>
    </row>
    <row r="13" spans="1:8" ht="12" customHeight="1">
      <c r="A13" s="30" t="s">
        <v>62</v>
      </c>
      <c r="B13" s="5"/>
      <c r="C13" s="85">
        <f>SVENSK!C13</f>
        <v>-4</v>
      </c>
      <c r="D13" s="86">
        <f>SVENSK!D13</f>
        <v>-4</v>
      </c>
      <c r="E13" s="86">
        <f>SVENSK!E13</f>
        <v>-149</v>
      </c>
      <c r="F13" s="83">
        <f>SVENSK!F13</f>
        <v>-4</v>
      </c>
      <c r="G13" s="84">
        <f>SVENSK!G13</f>
        <v>-4</v>
      </c>
      <c r="H13" s="84">
        <f>SVENSK!H13</f>
        <v>-183</v>
      </c>
    </row>
    <row r="14" spans="1:8" ht="12" customHeight="1">
      <c r="A14" s="30" t="s">
        <v>159</v>
      </c>
      <c r="B14" s="5"/>
      <c r="C14" s="85">
        <f>SVENSK!C14</f>
        <v>-24</v>
      </c>
      <c r="D14" s="86">
        <f>SVENSK!D14</f>
        <v>-24</v>
      </c>
      <c r="E14" s="86">
        <f>SVENSK!E14</f>
        <v>-107</v>
      </c>
      <c r="F14" s="85">
        <f>SVENSK!F14</f>
        <v>-94</v>
      </c>
      <c r="G14" s="86">
        <f>SVENSK!G14</f>
        <v>-94</v>
      </c>
      <c r="H14" s="84">
        <f>SVENSK!H14</f>
        <v>-186</v>
      </c>
    </row>
    <row r="15" spans="1:8" ht="12" customHeight="1">
      <c r="A15" s="30" t="s">
        <v>63</v>
      </c>
      <c r="B15" s="5"/>
      <c r="C15" s="83">
        <f>SVENSK!C15</f>
        <v>-8</v>
      </c>
      <c r="D15" s="84">
        <f>SVENSK!D15</f>
        <v>-8</v>
      </c>
      <c r="E15" s="84">
        <f>SVENSK!E15</f>
        <v>-99</v>
      </c>
      <c r="F15" s="83">
        <f>SVENSK!F15</f>
        <v>-76</v>
      </c>
      <c r="G15" s="84">
        <f>SVENSK!G15</f>
        <v>-76</v>
      </c>
      <c r="H15" s="84">
        <f>SVENSK!H15</f>
        <v>-180</v>
      </c>
    </row>
    <row r="16" spans="1:8" ht="12" customHeight="1">
      <c r="A16" s="30" t="s">
        <v>64</v>
      </c>
      <c r="B16" s="5"/>
      <c r="C16" s="39">
        <f aca="true" t="shared" si="1" ref="C16:H16">SUM(C10:C15)</f>
        <v>190</v>
      </c>
      <c r="D16" s="40">
        <f t="shared" si="1"/>
        <v>190</v>
      </c>
      <c r="E16" s="40">
        <f t="shared" si="1"/>
        <v>-184</v>
      </c>
      <c r="F16" s="39">
        <f t="shared" si="1"/>
        <v>451</v>
      </c>
      <c r="G16" s="40">
        <f t="shared" si="1"/>
        <v>451</v>
      </c>
      <c r="H16" s="40">
        <f t="shared" si="1"/>
        <v>-131</v>
      </c>
    </row>
    <row r="17" spans="1:8" ht="12" customHeight="1">
      <c r="A17" s="30" t="s">
        <v>65</v>
      </c>
      <c r="B17" s="5"/>
      <c r="C17" s="83">
        <f>SVENSK!C17</f>
        <v>-69</v>
      </c>
      <c r="D17" s="84">
        <f>SVENSK!D17</f>
        <v>-69</v>
      </c>
      <c r="E17" s="84">
        <f>SVENSK!E17</f>
        <v>-36</v>
      </c>
      <c r="F17" s="83">
        <f>SVENSK!F17</f>
        <v>-177</v>
      </c>
      <c r="G17" s="84">
        <f>SVENSK!G17</f>
        <v>-177</v>
      </c>
      <c r="H17" s="84">
        <f>SVENSK!H17</f>
        <v>-97</v>
      </c>
    </row>
    <row r="18" spans="1:8" ht="12" customHeight="1">
      <c r="A18" s="30" t="s">
        <v>66</v>
      </c>
      <c r="B18" s="5"/>
      <c r="C18" s="39">
        <f aca="true" t="shared" si="2" ref="C18:H18">SUM(C16:C17)</f>
        <v>121</v>
      </c>
      <c r="D18" s="40">
        <f t="shared" si="2"/>
        <v>121</v>
      </c>
      <c r="E18" s="40">
        <f t="shared" si="2"/>
        <v>-220</v>
      </c>
      <c r="F18" s="39">
        <f t="shared" si="2"/>
        <v>274</v>
      </c>
      <c r="G18" s="40">
        <f t="shared" si="2"/>
        <v>274</v>
      </c>
      <c r="H18" s="40">
        <f t="shared" si="2"/>
        <v>-228</v>
      </c>
    </row>
    <row r="19" spans="1:8" ht="12" customHeight="1">
      <c r="A19" s="30" t="s">
        <v>67</v>
      </c>
      <c r="B19" s="5"/>
      <c r="C19" s="83">
        <f>SVENSK!C19</f>
        <v>-49</v>
      </c>
      <c r="D19" s="84">
        <f>SVENSK!D19</f>
        <v>-49</v>
      </c>
      <c r="E19" s="84">
        <f>SVENSK!E19</f>
        <v>-7</v>
      </c>
      <c r="F19" s="83">
        <f>SVENSK!F19</f>
        <v>-110</v>
      </c>
      <c r="G19" s="84">
        <f>SVENSK!G19</f>
        <v>-110</v>
      </c>
      <c r="H19" s="84">
        <f>SVENSK!H19</f>
        <v>-3</v>
      </c>
    </row>
    <row r="20" spans="1:8" ht="12" customHeight="1">
      <c r="A20" s="22" t="s">
        <v>68</v>
      </c>
      <c r="B20" s="23"/>
      <c r="C20" s="44">
        <f aca="true" t="shared" si="3" ref="C20:H20">SUM(C18:C19)</f>
        <v>72</v>
      </c>
      <c r="D20" s="45">
        <f t="shared" si="3"/>
        <v>72</v>
      </c>
      <c r="E20" s="45">
        <f t="shared" si="3"/>
        <v>-227</v>
      </c>
      <c r="F20" s="44">
        <f t="shared" si="3"/>
        <v>164</v>
      </c>
      <c r="G20" s="45">
        <f t="shared" si="3"/>
        <v>164</v>
      </c>
      <c r="H20" s="45">
        <f t="shared" si="3"/>
        <v>-231</v>
      </c>
    </row>
    <row r="21" spans="1:8" ht="12" customHeight="1">
      <c r="A21" s="5"/>
      <c r="B21" s="5"/>
      <c r="C21" s="6"/>
      <c r="D21" s="6"/>
      <c r="E21" s="7"/>
      <c r="F21" s="6"/>
      <c r="G21" s="7"/>
      <c r="H21" s="6"/>
    </row>
    <row r="22" spans="1:8" ht="15" customHeight="1">
      <c r="A22" s="17" t="s">
        <v>69</v>
      </c>
      <c r="B22" s="18"/>
      <c r="C22" s="49"/>
      <c r="D22" s="49"/>
      <c r="E22" s="49"/>
      <c r="F22" s="49"/>
      <c r="G22" s="50"/>
      <c r="H22" s="51"/>
    </row>
    <row r="23" spans="1:8" ht="15" customHeight="1">
      <c r="A23" s="30"/>
      <c r="B23" s="24"/>
      <c r="C23" s="136"/>
      <c r="D23" s="132"/>
      <c r="E23" s="132">
        <v>2000</v>
      </c>
      <c r="F23" s="132"/>
      <c r="G23" s="122"/>
      <c r="H23" s="121" t="s">
        <v>109</v>
      </c>
    </row>
    <row r="24" spans="1:8" ht="15" customHeight="1">
      <c r="A24" s="22" t="s">
        <v>56</v>
      </c>
      <c r="B24" s="23"/>
      <c r="C24" s="58" t="s">
        <v>179</v>
      </c>
      <c r="D24" s="58" t="s">
        <v>178</v>
      </c>
      <c r="E24" s="58" t="s">
        <v>164</v>
      </c>
      <c r="F24" s="58" t="s">
        <v>131</v>
      </c>
      <c r="G24" s="58" t="s">
        <v>130</v>
      </c>
      <c r="H24" s="57" t="s">
        <v>163</v>
      </c>
    </row>
    <row r="25" spans="1:8" ht="12" customHeight="1">
      <c r="A25" s="29"/>
      <c r="B25" s="5"/>
      <c r="C25" s="33"/>
      <c r="D25" s="33"/>
      <c r="E25" s="34"/>
      <c r="F25" s="34"/>
      <c r="G25" s="34"/>
      <c r="H25" s="33"/>
    </row>
    <row r="26" spans="1:8" ht="12" customHeight="1">
      <c r="A26" s="30" t="s">
        <v>70</v>
      </c>
      <c r="B26" s="5"/>
      <c r="C26" s="83">
        <f>SVENSK!C26</f>
        <v>841</v>
      </c>
      <c r="D26" s="84">
        <f>SVENSK!D26</f>
        <v>784</v>
      </c>
      <c r="E26" s="84">
        <f>SVENSK!E26</f>
        <v>740</v>
      </c>
      <c r="F26" s="84">
        <f>SVENSK!F26</f>
        <v>787</v>
      </c>
      <c r="G26" s="84">
        <f>SVENSK!G26</f>
        <v>728</v>
      </c>
      <c r="H26" s="84">
        <f>SVENSK!H26</f>
        <v>829</v>
      </c>
    </row>
    <row r="27" spans="1:8" ht="12" customHeight="1">
      <c r="A27" s="30" t="s">
        <v>71</v>
      </c>
      <c r="B27" s="5"/>
      <c r="C27" s="83">
        <f>SVENSK!C27</f>
        <v>1366</v>
      </c>
      <c r="D27" s="84">
        <f>SVENSK!D27</f>
        <v>1366</v>
      </c>
      <c r="E27" s="84">
        <f>SVENSK!E27</f>
        <v>1373</v>
      </c>
      <c r="F27" s="84">
        <f>SVENSK!F27</f>
        <v>1359</v>
      </c>
      <c r="G27" s="84">
        <f>SVENSK!G27</f>
        <v>1380</v>
      </c>
      <c r="H27" s="84">
        <f>SVENSK!H27</f>
        <v>1429</v>
      </c>
    </row>
    <row r="28" spans="1:8" ht="12" customHeight="1">
      <c r="A28" s="30" t="s">
        <v>72</v>
      </c>
      <c r="B28" s="5"/>
      <c r="C28" s="83">
        <f>SVENSK!C28</f>
        <v>988</v>
      </c>
      <c r="D28" s="84">
        <f>SVENSK!D28</f>
        <v>988</v>
      </c>
      <c r="E28" s="84">
        <f>SVENSK!E28</f>
        <v>983</v>
      </c>
      <c r="F28" s="84">
        <f>SVENSK!F28</f>
        <v>969</v>
      </c>
      <c r="G28" s="84">
        <f>SVENSK!G28</f>
        <v>976</v>
      </c>
      <c r="H28" s="84">
        <f>SVENSK!H28</f>
        <v>1024</v>
      </c>
    </row>
    <row r="29" spans="1:8" ht="12" customHeight="1">
      <c r="A29" s="30" t="s">
        <v>73</v>
      </c>
      <c r="B29" s="5"/>
      <c r="C29" s="83">
        <f>SVENSK!C29</f>
        <v>1053</v>
      </c>
      <c r="D29" s="84">
        <f>SVENSK!D29</f>
        <v>1053</v>
      </c>
      <c r="E29" s="84">
        <f>SVENSK!E29</f>
        <v>1061</v>
      </c>
      <c r="F29" s="84">
        <f>SVENSK!F29</f>
        <v>1066</v>
      </c>
      <c r="G29" s="84">
        <f>SVENSK!G29</f>
        <v>1095</v>
      </c>
      <c r="H29" s="84">
        <f>SVENSK!H29</f>
        <v>1159</v>
      </c>
    </row>
    <row r="30" spans="1:8" ht="12" customHeight="1">
      <c r="A30" s="30" t="s">
        <v>74</v>
      </c>
      <c r="B30" s="5"/>
      <c r="C30" s="83">
        <f>SVENSK!C30</f>
        <v>2108</v>
      </c>
      <c r="D30" s="84">
        <f>SVENSK!D30</f>
        <v>2108</v>
      </c>
      <c r="E30" s="84">
        <f>SVENSK!E30</f>
        <v>2265</v>
      </c>
      <c r="F30" s="84">
        <f>SVENSK!F30</f>
        <v>2197</v>
      </c>
      <c r="G30" s="84">
        <f>SVENSK!G30</f>
        <v>1947</v>
      </c>
      <c r="H30" s="84">
        <f>SVENSK!H30</f>
        <v>1984</v>
      </c>
    </row>
    <row r="31" spans="1:8" ht="12" customHeight="1">
      <c r="A31" s="30" t="s">
        <v>75</v>
      </c>
      <c r="B31" s="5"/>
      <c r="C31" s="83">
        <f>SVENSK!C31</f>
        <v>2410</v>
      </c>
      <c r="D31" s="84">
        <f>SVENSK!D31</f>
        <v>2467</v>
      </c>
      <c r="E31" s="84">
        <f>SVENSK!E31</f>
        <v>2511</v>
      </c>
      <c r="F31" s="84">
        <f>SVENSK!F31</f>
        <v>2281</v>
      </c>
      <c r="G31" s="84">
        <f>SVENSK!G31</f>
        <v>2493</v>
      </c>
      <c r="H31" s="84">
        <f>SVENSK!H31</f>
        <v>2493</v>
      </c>
    </row>
    <row r="32" spans="1:8" ht="12" customHeight="1">
      <c r="A32" s="30" t="s">
        <v>76</v>
      </c>
      <c r="B32" s="5"/>
      <c r="C32" s="83">
        <f>SVENSK!C32</f>
        <v>328</v>
      </c>
      <c r="D32" s="84">
        <f>SVENSK!D32</f>
        <v>240</v>
      </c>
      <c r="E32" s="84">
        <f>SVENSK!E32</f>
        <v>304</v>
      </c>
      <c r="F32" s="84">
        <f>SVENSK!F32</f>
        <v>283</v>
      </c>
      <c r="G32" s="84">
        <f>SVENSK!G32</f>
        <v>282</v>
      </c>
      <c r="H32" s="84">
        <f>SVENSK!H32</f>
        <v>292</v>
      </c>
    </row>
    <row r="33" spans="1:8" ht="12" customHeight="1">
      <c r="A33" s="30" t="s">
        <v>77</v>
      </c>
      <c r="B33" s="5"/>
      <c r="C33" s="39">
        <f aca="true" t="shared" si="4" ref="C33:H33">SUM(C26:C32)</f>
        <v>9094</v>
      </c>
      <c r="D33" s="40">
        <f t="shared" si="4"/>
        <v>9006</v>
      </c>
      <c r="E33" s="40">
        <f t="shared" si="4"/>
        <v>9237</v>
      </c>
      <c r="F33" s="40">
        <f t="shared" si="4"/>
        <v>8942</v>
      </c>
      <c r="G33" s="40">
        <f t="shared" si="4"/>
        <v>8901</v>
      </c>
      <c r="H33" s="40">
        <f t="shared" si="4"/>
        <v>9210</v>
      </c>
    </row>
    <row r="34" spans="1:8" ht="12" customHeight="1">
      <c r="A34" s="30"/>
      <c r="B34" s="5"/>
      <c r="C34" s="37"/>
      <c r="D34" s="75"/>
      <c r="E34" s="75"/>
      <c r="F34" s="75"/>
      <c r="G34" s="75"/>
      <c r="H34" s="75"/>
    </row>
    <row r="35" spans="1:8" ht="12" customHeight="1">
      <c r="A35" s="30" t="s">
        <v>78</v>
      </c>
      <c r="B35" s="5"/>
      <c r="C35" s="83">
        <f>SVENSK!C35</f>
        <v>2588</v>
      </c>
      <c r="D35" s="84">
        <f>SVENSK!D35</f>
        <v>2588</v>
      </c>
      <c r="E35" s="84">
        <f>SVENSK!E35</f>
        <v>2520</v>
      </c>
      <c r="F35" s="84">
        <f>SVENSK!F35</f>
        <v>2579</v>
      </c>
      <c r="G35" s="84">
        <f>SVENSK!G35</f>
        <v>2663</v>
      </c>
      <c r="H35" s="84">
        <f>SVENSK!H35</f>
        <v>2597</v>
      </c>
    </row>
    <row r="36" spans="1:8" ht="12" customHeight="1">
      <c r="A36" s="30" t="s">
        <v>79</v>
      </c>
      <c r="B36" s="5"/>
      <c r="C36" s="83">
        <f>SVENSK!C36</f>
        <v>457</v>
      </c>
      <c r="D36" s="84">
        <f>SVENSK!D36</f>
        <v>457</v>
      </c>
      <c r="E36" s="84">
        <f>SVENSK!E36</f>
        <v>446</v>
      </c>
      <c r="F36" s="84">
        <f>SVENSK!F36</f>
        <v>435</v>
      </c>
      <c r="G36" s="84">
        <f>SVENSK!G36</f>
        <v>420</v>
      </c>
      <c r="H36" s="84">
        <f>SVENSK!H36</f>
        <v>428</v>
      </c>
    </row>
    <row r="37" spans="1:8" ht="12" customHeight="1">
      <c r="A37" s="30" t="s">
        <v>80</v>
      </c>
      <c r="B37" s="5"/>
      <c r="C37" s="83">
        <f>SVENSK!C37</f>
        <v>3288</v>
      </c>
      <c r="D37" s="84">
        <f>SVENSK!D37</f>
        <v>3288</v>
      </c>
      <c r="E37" s="84">
        <f>SVENSK!E37</f>
        <v>3424</v>
      </c>
      <c r="F37" s="84">
        <f>SVENSK!F37</f>
        <v>3208</v>
      </c>
      <c r="G37" s="84">
        <f>SVENSK!G37</f>
        <v>3155</v>
      </c>
      <c r="H37" s="84">
        <f>SVENSK!H37</f>
        <v>3315</v>
      </c>
    </row>
    <row r="38" spans="1:8" ht="12" customHeight="1">
      <c r="A38" s="30" t="s">
        <v>81</v>
      </c>
      <c r="B38" s="5"/>
      <c r="C38" s="83">
        <f>SVENSK!C38</f>
        <v>303</v>
      </c>
      <c r="D38" s="84">
        <f>SVENSK!D38</f>
        <v>303</v>
      </c>
      <c r="E38" s="84">
        <f>SVENSK!E38</f>
        <v>381</v>
      </c>
      <c r="F38" s="84">
        <f>SVENSK!F38</f>
        <v>422</v>
      </c>
      <c r="G38" s="84">
        <f>SVENSK!G38</f>
        <v>278</v>
      </c>
      <c r="H38" s="84">
        <f>SVENSK!H38</f>
        <v>302</v>
      </c>
    </row>
    <row r="39" spans="1:8" ht="12" customHeight="1">
      <c r="A39" s="30" t="s">
        <v>82</v>
      </c>
      <c r="C39" s="83">
        <f>SVENSK!C39</f>
        <v>2458</v>
      </c>
      <c r="D39" s="84">
        <f>SVENSK!D39</f>
        <v>2370</v>
      </c>
      <c r="E39" s="84">
        <f>SVENSK!E39</f>
        <v>2466</v>
      </c>
      <c r="F39" s="84">
        <f>SVENSK!F39</f>
        <v>2298</v>
      </c>
      <c r="G39" s="84">
        <f>SVENSK!G39</f>
        <v>2385</v>
      </c>
      <c r="H39" s="84">
        <f>SVENSK!H39</f>
        <v>2568</v>
      </c>
    </row>
    <row r="40" spans="1:8" ht="12" customHeight="1">
      <c r="A40" s="22" t="s">
        <v>83</v>
      </c>
      <c r="B40" s="23"/>
      <c r="C40" s="44">
        <f aca="true" t="shared" si="5" ref="C40:H40">SUM(C35:C39)</f>
        <v>9094</v>
      </c>
      <c r="D40" s="45">
        <f t="shared" si="5"/>
        <v>9006</v>
      </c>
      <c r="E40" s="45">
        <f t="shared" si="5"/>
        <v>9237</v>
      </c>
      <c r="F40" s="45">
        <f t="shared" si="5"/>
        <v>8942</v>
      </c>
      <c r="G40" s="45">
        <f t="shared" si="5"/>
        <v>8901</v>
      </c>
      <c r="H40" s="45">
        <f t="shared" si="5"/>
        <v>9210</v>
      </c>
    </row>
    <row r="41" spans="1:8" ht="12" customHeight="1">
      <c r="A41" s="5"/>
      <c r="B41" s="5"/>
      <c r="C41" s="6"/>
      <c r="D41" s="6"/>
      <c r="E41" s="6"/>
      <c r="F41" s="6"/>
      <c r="G41" s="6"/>
      <c r="H41" s="6"/>
    </row>
    <row r="42" spans="1:8" ht="15" customHeight="1">
      <c r="A42" s="17" t="s">
        <v>180</v>
      </c>
      <c r="B42" s="18"/>
      <c r="C42" s="49"/>
      <c r="D42" s="49"/>
      <c r="E42" s="49"/>
      <c r="F42" s="49"/>
      <c r="G42" s="50"/>
      <c r="H42" s="51"/>
    </row>
    <row r="43" spans="1:8" ht="15" customHeight="1">
      <c r="A43" s="20"/>
      <c r="B43" s="21"/>
      <c r="C43" s="140"/>
      <c r="D43" s="143" t="s">
        <v>162</v>
      </c>
      <c r="E43" s="144"/>
      <c r="F43" s="137"/>
      <c r="G43" s="141" t="s">
        <v>185</v>
      </c>
      <c r="H43" s="139"/>
    </row>
    <row r="44" spans="1:8" ht="15" customHeight="1">
      <c r="A44" s="22" t="s">
        <v>56</v>
      </c>
      <c r="B44" s="23"/>
      <c r="C44" s="142" t="s">
        <v>182</v>
      </c>
      <c r="D44" s="142" t="s">
        <v>183</v>
      </c>
      <c r="E44" s="142" t="s">
        <v>184</v>
      </c>
      <c r="F44" s="142" t="s">
        <v>182</v>
      </c>
      <c r="G44" s="142" t="s">
        <v>183</v>
      </c>
      <c r="H44" s="142" t="s">
        <v>184</v>
      </c>
    </row>
    <row r="45" spans="1:8" ht="12" customHeight="1">
      <c r="A45" s="29"/>
      <c r="B45" s="5"/>
      <c r="C45" s="59"/>
      <c r="D45" s="59"/>
      <c r="E45" s="59"/>
      <c r="F45" s="59"/>
      <c r="G45" s="59"/>
      <c r="H45" s="59"/>
    </row>
    <row r="46" spans="1:8" ht="12" customHeight="1">
      <c r="A46" s="30" t="s">
        <v>84</v>
      </c>
      <c r="B46" s="5"/>
      <c r="C46" s="83">
        <f>SVENSK!C46</f>
        <v>318</v>
      </c>
      <c r="D46" s="84">
        <f>SVENSK!D46</f>
        <v>318</v>
      </c>
      <c r="E46" s="84">
        <f>SVENSK!E46</f>
        <v>128</v>
      </c>
      <c r="F46" s="83">
        <f>SVENSK!F46</f>
        <v>924</v>
      </c>
      <c r="G46" s="84">
        <f>SVENSK!G46</f>
        <v>924</v>
      </c>
      <c r="H46" s="84">
        <f>SVENSK!H46</f>
        <v>585</v>
      </c>
    </row>
    <row r="47" spans="1:8" ht="12" customHeight="1">
      <c r="A47" s="30" t="s">
        <v>85</v>
      </c>
      <c r="B47" s="5"/>
      <c r="C47" s="83">
        <f>SVENSK!C47</f>
        <v>150</v>
      </c>
      <c r="D47" s="84">
        <f>SVENSK!D47</f>
        <v>53</v>
      </c>
      <c r="E47" s="84">
        <f>SVENSK!E47</f>
        <v>-20</v>
      </c>
      <c r="F47" s="83">
        <f>SVENSK!F47</f>
        <v>-80</v>
      </c>
      <c r="G47" s="84">
        <f>SVENSK!G47</f>
        <v>-177</v>
      </c>
      <c r="H47" s="84">
        <f>SVENSK!H47</f>
        <v>6</v>
      </c>
    </row>
    <row r="48" spans="1:8" ht="12" customHeight="1">
      <c r="A48" s="30" t="s">
        <v>86</v>
      </c>
      <c r="B48" s="5"/>
      <c r="C48" s="83">
        <f>SVENSK!C48</f>
        <v>-93</v>
      </c>
      <c r="D48" s="84">
        <f>SVENSK!D48</f>
        <v>-116</v>
      </c>
      <c r="E48" s="84">
        <f>SVENSK!E48</f>
        <v>-105</v>
      </c>
      <c r="F48" s="83">
        <f>SVENSK!F48</f>
        <v>-196</v>
      </c>
      <c r="G48" s="84">
        <f>SVENSK!G48</f>
        <v>-219</v>
      </c>
      <c r="H48" s="84">
        <f>SVENSK!H48</f>
        <v>-331</v>
      </c>
    </row>
    <row r="49" spans="1:8" ht="12" customHeight="1">
      <c r="A49" s="30" t="s">
        <v>87</v>
      </c>
      <c r="B49" s="5"/>
      <c r="C49" s="83">
        <f>SVENSK!C49</f>
        <v>78</v>
      </c>
      <c r="D49" s="84">
        <f>SVENSK!D49</f>
        <v>101</v>
      </c>
      <c r="E49" s="84">
        <f>SVENSK!E49</f>
        <v>108</v>
      </c>
      <c r="F49" s="83">
        <f>SVENSK!F49</f>
        <v>96</v>
      </c>
      <c r="G49" s="84">
        <f>SVENSK!G49</f>
        <v>119</v>
      </c>
      <c r="H49" s="84">
        <f>SVENSK!H49</f>
        <v>1134</v>
      </c>
    </row>
    <row r="50" spans="1:8" ht="12" customHeight="1">
      <c r="A50" s="30" t="s">
        <v>88</v>
      </c>
      <c r="B50" s="5"/>
      <c r="C50" s="88">
        <f>SVENSK!C50</f>
        <v>453</v>
      </c>
      <c r="D50" s="89">
        <f>SVENSK!D50</f>
        <v>356</v>
      </c>
      <c r="E50" s="89">
        <f>SVENSK!E50</f>
        <v>111</v>
      </c>
      <c r="F50" s="88">
        <f>SVENSK!F50</f>
        <v>744</v>
      </c>
      <c r="G50" s="89">
        <f>SVENSK!G50</f>
        <v>647</v>
      </c>
      <c r="H50" s="89">
        <f>SVENSK!H50</f>
        <v>1394</v>
      </c>
    </row>
    <row r="51" spans="1:8" ht="12" customHeight="1">
      <c r="A51" s="30" t="s">
        <v>89</v>
      </c>
      <c r="B51" s="5"/>
      <c r="C51" s="83">
        <f>SVENSK!C51</f>
        <v>-158</v>
      </c>
      <c r="D51" s="84">
        <f>SVENSK!D51</f>
        <v>-117</v>
      </c>
      <c r="E51" s="84">
        <f>SVENSK!E51</f>
        <v>-186</v>
      </c>
      <c r="F51" s="83">
        <f>SVENSK!F51</f>
        <v>-327</v>
      </c>
      <c r="G51" s="84">
        <f>SVENSK!G51</f>
        <v>-286</v>
      </c>
      <c r="H51" s="84">
        <f>SVENSK!H51</f>
        <v>-244</v>
      </c>
    </row>
    <row r="52" spans="1:8" ht="12" customHeight="1">
      <c r="A52" s="30" t="s">
        <v>90</v>
      </c>
      <c r="B52" s="5"/>
      <c r="C52" s="88">
        <f>SVENSK!C52</f>
        <v>295</v>
      </c>
      <c r="D52" s="89">
        <f>SVENSK!D52</f>
        <v>239</v>
      </c>
      <c r="E52" s="89">
        <f>SVENSK!E52</f>
        <v>-75</v>
      </c>
      <c r="F52" s="88">
        <f>SVENSK!F52</f>
        <v>417</v>
      </c>
      <c r="G52" s="89">
        <f>SVENSK!G52</f>
        <v>361</v>
      </c>
      <c r="H52" s="89">
        <f>SVENSK!H52</f>
        <v>1150</v>
      </c>
    </row>
    <row r="53" spans="1:8" ht="12" customHeight="1">
      <c r="A53" s="30" t="s">
        <v>91</v>
      </c>
      <c r="B53" s="5"/>
      <c r="C53" s="83">
        <f>SVENSK!C53</f>
        <v>0</v>
      </c>
      <c r="D53" s="84">
        <f>SVENSK!D53</f>
        <v>0</v>
      </c>
      <c r="E53" s="84">
        <f>SVENSK!E53</f>
        <v>-25</v>
      </c>
      <c r="F53" s="83">
        <f>SVENSK!F53</f>
        <v>-68</v>
      </c>
      <c r="G53" s="84">
        <f>SVENSK!G53</f>
        <v>-68</v>
      </c>
      <c r="H53" s="84">
        <f>SVENSK!H53</f>
        <v>-587</v>
      </c>
    </row>
    <row r="54" spans="1:8" ht="12" customHeight="1">
      <c r="A54" s="30" t="s">
        <v>92</v>
      </c>
      <c r="B54" s="5"/>
      <c r="C54" s="88">
        <f>SVENSK!C54</f>
        <v>295</v>
      </c>
      <c r="D54" s="89">
        <f>SVENSK!D54</f>
        <v>239</v>
      </c>
      <c r="E54" s="89">
        <f>SVENSK!E54</f>
        <v>-100</v>
      </c>
      <c r="F54" s="88">
        <f>SVENSK!F54</f>
        <v>349</v>
      </c>
      <c r="G54" s="89">
        <f>SVENSK!G54</f>
        <v>293</v>
      </c>
      <c r="H54" s="89">
        <f>SVENSK!H54</f>
        <v>563</v>
      </c>
    </row>
    <row r="55" spans="1:8" ht="12" customHeight="1">
      <c r="A55" s="30" t="s">
        <v>166</v>
      </c>
      <c r="B55" s="5"/>
      <c r="C55" s="83">
        <f>SVENSK!C55</f>
        <v>-69</v>
      </c>
      <c r="D55" s="84">
        <f>SVENSK!D55</f>
        <v>-70</v>
      </c>
      <c r="E55" s="84">
        <f>SVENSK!E55</f>
        <v>-105</v>
      </c>
      <c r="F55" s="83">
        <f>SVENSK!F55</f>
        <v>-339</v>
      </c>
      <c r="G55" s="84">
        <f>SVENSK!G55</f>
        <v>-340</v>
      </c>
      <c r="H55" s="84">
        <f>SVENSK!H55</f>
        <v>355</v>
      </c>
    </row>
    <row r="56" spans="1:8" ht="12" customHeight="1">
      <c r="A56" s="22" t="s">
        <v>93</v>
      </c>
      <c r="B56" s="23"/>
      <c r="C56" s="90">
        <f>SVENSK!C56</f>
        <v>226</v>
      </c>
      <c r="D56" s="91">
        <f>SVENSK!D56</f>
        <v>169</v>
      </c>
      <c r="E56" s="91">
        <f>SVENSK!E56</f>
        <v>-205</v>
      </c>
      <c r="F56" s="90">
        <f>SVENSK!F56</f>
        <v>10</v>
      </c>
      <c r="G56" s="91">
        <f>SVENSK!G56</f>
        <v>-47</v>
      </c>
      <c r="H56" s="91">
        <f>SVENSK!H56</f>
        <v>918</v>
      </c>
    </row>
    <row r="57" spans="1:8" ht="12" customHeight="1">
      <c r="A57" s="24"/>
      <c r="B57" s="24"/>
      <c r="C57" s="24"/>
      <c r="D57" s="24"/>
      <c r="E57" s="92"/>
      <c r="F57" s="93"/>
      <c r="G57" s="92"/>
      <c r="H57" s="93"/>
    </row>
    <row r="58" spans="1:8" ht="12" customHeight="1">
      <c r="A58" s="120" t="s">
        <v>167</v>
      </c>
      <c r="B58" s="24"/>
      <c r="C58" s="24"/>
      <c r="D58" s="24"/>
      <c r="E58" s="92"/>
      <c r="F58" s="93"/>
      <c r="G58" s="92"/>
      <c r="H58" s="93"/>
    </row>
    <row r="59" spans="1:8" ht="12" customHeight="1">
      <c r="A59" s="24" t="s">
        <v>168</v>
      </c>
      <c r="B59" s="24"/>
      <c r="C59" s="24"/>
      <c r="D59" s="24"/>
      <c r="E59" s="92"/>
      <c r="F59" s="93"/>
      <c r="G59" s="92"/>
      <c r="H59" s="93"/>
    </row>
    <row r="60" spans="1:8" ht="12" customHeight="1">
      <c r="A60" s="24" t="s">
        <v>169</v>
      </c>
      <c r="B60" s="24"/>
      <c r="C60" s="24"/>
      <c r="D60" s="24"/>
      <c r="E60" s="92"/>
      <c r="F60" s="93"/>
      <c r="G60" s="92"/>
      <c r="H60" s="93"/>
    </row>
    <row r="61" spans="1:8" ht="12" customHeight="1">
      <c r="A61" s="24"/>
      <c r="B61" s="24"/>
      <c r="C61" s="24"/>
      <c r="D61" s="24"/>
      <c r="E61" s="92"/>
      <c r="F61" s="93"/>
      <c r="G61" s="92"/>
      <c r="H61" s="93"/>
    </row>
    <row r="62" spans="1:8" ht="12" customHeight="1">
      <c r="A62" s="5"/>
      <c r="B62" s="5"/>
      <c r="C62" s="6"/>
      <c r="D62" s="6"/>
      <c r="E62" s="6"/>
      <c r="F62" s="6"/>
      <c r="G62" s="6"/>
      <c r="H62" s="8">
        <v>1</v>
      </c>
    </row>
    <row r="63" spans="1:9" ht="30" customHeight="1">
      <c r="A63" s="1" t="s">
        <v>0</v>
      </c>
      <c r="C63" s="9" t="str">
        <f>C1</f>
        <v>DEFINITIVE REPORT 2000</v>
      </c>
      <c r="D63" s="10"/>
      <c r="E63" s="11"/>
      <c r="F63" s="11"/>
      <c r="G63" s="11"/>
      <c r="H63" s="115"/>
      <c r="I63" s="15">
        <f ca="1">NOW()</f>
        <v>36942.475573958334</v>
      </c>
    </row>
    <row r="64" spans="1:8" ht="12" customHeight="1">
      <c r="A64" s="4"/>
      <c r="B64" s="4"/>
      <c r="C64" s="11"/>
      <c r="D64" s="10"/>
      <c r="E64" s="11"/>
      <c r="F64" s="11"/>
      <c r="G64" s="11"/>
      <c r="H64" s="15"/>
    </row>
    <row r="65" spans="3:8" ht="12" customHeight="1">
      <c r="C65" s="10"/>
      <c r="D65" s="10"/>
      <c r="E65" s="10"/>
      <c r="F65" s="10"/>
      <c r="G65" s="10"/>
      <c r="H65" s="10"/>
    </row>
    <row r="66" spans="1:8" ht="15" customHeight="1">
      <c r="A66" s="17" t="s">
        <v>94</v>
      </c>
      <c r="B66" s="18"/>
      <c r="C66" s="49"/>
      <c r="D66" s="49"/>
      <c r="E66" s="49"/>
      <c r="F66" s="49"/>
      <c r="G66" s="49"/>
      <c r="H66" s="51"/>
    </row>
    <row r="67" spans="1:8" ht="15" customHeight="1">
      <c r="A67" s="20"/>
      <c r="B67" s="21"/>
      <c r="C67" s="140"/>
      <c r="D67" s="143" t="s">
        <v>162</v>
      </c>
      <c r="E67" s="144"/>
      <c r="F67" s="137"/>
      <c r="G67" s="141" t="s">
        <v>185</v>
      </c>
      <c r="H67" s="139"/>
    </row>
    <row r="68" spans="1:8" ht="15" customHeight="1">
      <c r="A68" s="22" t="s">
        <v>56</v>
      </c>
      <c r="B68" s="23"/>
      <c r="C68" s="142" t="s">
        <v>182</v>
      </c>
      <c r="D68" s="142" t="s">
        <v>183</v>
      </c>
      <c r="E68" s="142" t="s">
        <v>184</v>
      </c>
      <c r="F68" s="142" t="s">
        <v>182</v>
      </c>
      <c r="G68" s="142" t="s">
        <v>183</v>
      </c>
      <c r="H68" s="142" t="s">
        <v>184</v>
      </c>
    </row>
    <row r="69" spans="1:8" ht="12" customHeight="1">
      <c r="A69" s="29"/>
      <c r="B69" s="5"/>
      <c r="C69" s="34"/>
      <c r="D69" s="34"/>
      <c r="E69" s="34"/>
      <c r="F69" s="34"/>
      <c r="G69" s="34"/>
      <c r="H69" s="34"/>
    </row>
    <row r="70" spans="1:8" ht="12" customHeight="1">
      <c r="A70" s="61" t="s">
        <v>153</v>
      </c>
      <c r="B70" s="5"/>
      <c r="C70" s="59"/>
      <c r="D70" s="59"/>
      <c r="E70" s="59"/>
      <c r="F70" s="59"/>
      <c r="G70" s="59"/>
      <c r="H70" s="59"/>
    </row>
    <row r="71" spans="1:8" ht="12" customHeight="1">
      <c r="A71" s="30" t="s">
        <v>95</v>
      </c>
      <c r="B71" s="5"/>
      <c r="C71" s="62">
        <f>SVENSK!C71</f>
        <v>0.2759784075573549</v>
      </c>
      <c r="D71" s="63">
        <f>SVENSK!D71</f>
        <v>0.2759784075573549</v>
      </c>
      <c r="E71" s="63">
        <f>SVENSK!E71</f>
        <v>0.2850741123750431</v>
      </c>
      <c r="F71" s="62">
        <f>SVENSK!F71</f>
        <v>0.27498873366381255</v>
      </c>
      <c r="G71" s="63">
        <f>SVENSK!G71</f>
        <v>0.27498873366381255</v>
      </c>
      <c r="H71" s="63">
        <f>SVENSK!H71</f>
        <v>0.2677805575411008</v>
      </c>
    </row>
    <row r="72" spans="1:8" ht="12" customHeight="1">
      <c r="A72" s="30" t="s">
        <v>96</v>
      </c>
      <c r="B72" s="5"/>
      <c r="C72" s="62">
        <f>SVENSK!C72</f>
        <v>0.21052631578947367</v>
      </c>
      <c r="D72" s="63">
        <f>SVENSK!D72</f>
        <v>0.21052631578947367</v>
      </c>
      <c r="E72" s="63">
        <f>SVENSK!E72</f>
        <v>0.29713891761461564</v>
      </c>
      <c r="F72" s="62">
        <f>SVENSK!F72</f>
        <v>0.23397926994141505</v>
      </c>
      <c r="G72" s="63">
        <f>SVENSK!G72</f>
        <v>0.23397926994141505</v>
      </c>
      <c r="H72" s="63">
        <f>SVENSK!H72</f>
        <v>0.26313438170121517</v>
      </c>
    </row>
    <row r="73" spans="1:8" ht="12" customHeight="1">
      <c r="A73" s="30" t="s">
        <v>97</v>
      </c>
      <c r="B73" s="5"/>
      <c r="C73" s="62">
        <f>SVENSK!C73</f>
        <v>0.06545209176788123</v>
      </c>
      <c r="D73" s="63">
        <f>SVENSK!D73</f>
        <v>0.06545209176788123</v>
      </c>
      <c r="E73" s="63">
        <f>SVENSK!E73</f>
        <v>-0.012064805239572561</v>
      </c>
      <c r="F73" s="62">
        <f>SVENSK!F73</f>
        <v>0.04100946372239748</v>
      </c>
      <c r="G73" s="63">
        <f>SVENSK!G73</f>
        <v>0.04100946372239748</v>
      </c>
      <c r="H73" s="63">
        <f>SVENSK!H73</f>
        <v>0.004646175839885632</v>
      </c>
    </row>
    <row r="74" spans="1:8" ht="12" customHeight="1">
      <c r="A74" s="30" t="s">
        <v>98</v>
      </c>
      <c r="B74" s="5"/>
      <c r="C74" s="94">
        <f>SVENSK!C74</f>
        <v>2</v>
      </c>
      <c r="D74" s="95">
        <f>SVENSK!D74</f>
        <v>2</v>
      </c>
      <c r="E74" s="95">
        <f>SVENSK!E74</f>
        <v>-2.7</v>
      </c>
      <c r="F74" s="94">
        <f>SVENSK!F74</f>
        <v>4.7</v>
      </c>
      <c r="G74" s="95">
        <f>SVENSK!G74</f>
        <v>4.7</v>
      </c>
      <c r="H74" s="95">
        <f>SVENSK!H74</f>
        <v>-2</v>
      </c>
    </row>
    <row r="75" spans="1:8" ht="12" customHeight="1">
      <c r="A75" s="61" t="s">
        <v>154</v>
      </c>
      <c r="B75" s="5"/>
      <c r="C75" s="59"/>
      <c r="D75" s="59"/>
      <c r="E75" s="59"/>
      <c r="F75" s="59"/>
      <c r="G75" s="59"/>
      <c r="H75" s="59"/>
    </row>
    <row r="76" spans="1:8" ht="12" customHeight="1">
      <c r="A76" s="30" t="s">
        <v>95</v>
      </c>
      <c r="B76" s="5"/>
      <c r="C76" s="62">
        <f>SVENSK!C76</f>
        <v>0.2759784075573549</v>
      </c>
      <c r="D76" s="63">
        <f>SVENSK!D76</f>
        <v>0.2759784075573549</v>
      </c>
      <c r="E76" s="63">
        <f>SVENSK!E76</f>
        <v>0.2850741123750431</v>
      </c>
      <c r="F76" s="62">
        <f>SVENSK!F76</f>
        <v>0.27498873366381255</v>
      </c>
      <c r="G76" s="63">
        <f>SVENSK!G76</f>
        <v>0.27498873366381255</v>
      </c>
      <c r="H76" s="63">
        <f>SVENSK!H76</f>
        <v>0.2677805575411008</v>
      </c>
    </row>
    <row r="77" spans="1:8" ht="12" customHeight="1">
      <c r="A77" s="30" t="s">
        <v>96</v>
      </c>
      <c r="B77" s="5"/>
      <c r="C77" s="62">
        <f>SVENSK!C77</f>
        <v>0.21187584345479082</v>
      </c>
      <c r="D77" s="63">
        <f>SVENSK!D77</f>
        <v>0.21187584345479082</v>
      </c>
      <c r="E77" s="63">
        <f>SVENSK!E77</f>
        <v>0.3475005170630817</v>
      </c>
      <c r="F77" s="62">
        <f>SVENSK!F77</f>
        <v>0.23433979269941416</v>
      </c>
      <c r="G77" s="63">
        <f>SVENSK!G77</f>
        <v>0.23433979269941416</v>
      </c>
      <c r="H77" s="63">
        <f>SVENSK!H77</f>
        <v>0.2795853466761973</v>
      </c>
    </row>
    <row r="78" spans="1:8" ht="12" customHeight="1">
      <c r="A78" s="30" t="s">
        <v>97</v>
      </c>
      <c r="B78" s="5"/>
      <c r="C78" s="62">
        <f>SVENSK!C78</f>
        <v>0.0641025641025641</v>
      </c>
      <c r="D78" s="63">
        <f>SVENSK!D78</f>
        <v>0.0641025641025641</v>
      </c>
      <c r="E78" s="63">
        <f>SVENSK!E78</f>
        <v>-0.0634264046880386</v>
      </c>
      <c r="F78" s="62">
        <f>SVENSK!F78</f>
        <v>0.040648940964398375</v>
      </c>
      <c r="G78" s="63">
        <f>SVENSK!G78</f>
        <v>0.040648940964398375</v>
      </c>
      <c r="H78" s="63">
        <f>SVENSK!H78</f>
        <v>-0.011704789135096497</v>
      </c>
    </row>
    <row r="79" spans="1:8" ht="12" customHeight="1">
      <c r="A79" s="30" t="s">
        <v>98</v>
      </c>
      <c r="B79" s="5"/>
      <c r="C79" s="94">
        <f>SVENSK!C79</f>
        <v>2.1</v>
      </c>
      <c r="D79" s="95">
        <f>SVENSK!D79</f>
        <v>2.1</v>
      </c>
      <c r="E79" s="95">
        <f>SVENSK!E79</f>
        <v>-6.6</v>
      </c>
      <c r="F79" s="94">
        <f>SVENSK!F79</f>
        <v>4.8</v>
      </c>
      <c r="G79" s="95">
        <f>SVENSK!G79</f>
        <v>4.8</v>
      </c>
      <c r="H79" s="95">
        <f>SVENSK!H79</f>
        <v>-6.7</v>
      </c>
    </row>
    <row r="80" spans="1:8" ht="12" customHeight="1">
      <c r="A80" s="30" t="s">
        <v>99</v>
      </c>
      <c r="B80" s="5"/>
      <c r="C80" s="96">
        <f>SVENSK!C80</f>
        <v>128</v>
      </c>
      <c r="D80" s="97">
        <f>SVENSK!D80</f>
        <v>128</v>
      </c>
      <c r="E80" s="97">
        <f>SVENSK!E80</f>
        <v>312</v>
      </c>
      <c r="F80" s="98">
        <f>SVENSK!F80</f>
        <v>473</v>
      </c>
      <c r="G80" s="99">
        <f>SVENSK!G80</f>
        <v>473</v>
      </c>
      <c r="H80" s="99">
        <f>SVENSK!H80</f>
        <v>716</v>
      </c>
    </row>
    <row r="81" spans="1:8" ht="12" customHeight="1">
      <c r="A81" s="30" t="s">
        <v>100</v>
      </c>
      <c r="B81" s="5"/>
      <c r="C81" s="64"/>
      <c r="D81" s="64"/>
      <c r="E81" s="65"/>
      <c r="F81" s="78">
        <f>SVENSK!F81</f>
        <v>2.0172727272727276</v>
      </c>
      <c r="G81" s="79">
        <f>SVENSK!G81</f>
        <v>1.9926718403547674</v>
      </c>
      <c r="H81" s="79">
        <f>SVENSK!H81</f>
        <v>2</v>
      </c>
    </row>
    <row r="82" spans="1:8" ht="12" customHeight="1">
      <c r="A82" s="30" t="s">
        <v>101</v>
      </c>
      <c r="B82" s="5"/>
      <c r="C82" s="64"/>
      <c r="D82" s="64"/>
      <c r="E82" s="65"/>
      <c r="F82" s="62">
        <f>SVENSK!F82</f>
        <v>0.082</v>
      </c>
      <c r="G82" s="63">
        <f>SVENSK!G82</f>
        <v>0.081</v>
      </c>
      <c r="H82" s="131" t="str">
        <f>SVENSK!H82</f>
        <v>Neg</v>
      </c>
    </row>
    <row r="83" spans="1:8" ht="12" customHeight="1">
      <c r="A83" s="30" t="s">
        <v>102</v>
      </c>
      <c r="B83" s="5"/>
      <c r="C83" s="64"/>
      <c r="D83" s="64"/>
      <c r="E83" s="65"/>
      <c r="F83" s="62">
        <f>SVENSK!F83</f>
        <v>0.063</v>
      </c>
      <c r="G83" s="63">
        <f>SVENSK!G83</f>
        <v>0.063</v>
      </c>
      <c r="H83" s="131" t="str">
        <f>SVENSK!H83</f>
        <v>Neg</v>
      </c>
    </row>
    <row r="84" spans="1:8" ht="12" customHeight="1">
      <c r="A84" s="30" t="s">
        <v>103</v>
      </c>
      <c r="B84" s="5"/>
      <c r="C84" s="64"/>
      <c r="D84" s="64"/>
      <c r="E84" s="65"/>
      <c r="F84" s="98">
        <f>SVENSK!F84</f>
        <v>5492</v>
      </c>
      <c r="G84" s="99">
        <f>SVENSK!G84</f>
        <v>5549</v>
      </c>
      <c r="H84" s="99">
        <f>SVENSK!H84</f>
        <v>5511</v>
      </c>
    </row>
    <row r="85" spans="1:8" ht="12" customHeight="1">
      <c r="A85" s="30" t="s">
        <v>104</v>
      </c>
      <c r="B85" s="5"/>
      <c r="C85" s="64"/>
      <c r="D85" s="64"/>
      <c r="E85" s="65"/>
      <c r="F85" s="98">
        <f>SVENSK!F85</f>
        <v>2904</v>
      </c>
      <c r="G85" s="99">
        <f>SVENSK!G85</f>
        <v>2961</v>
      </c>
      <c r="H85" s="99">
        <f>SVENSK!H85</f>
        <v>2914</v>
      </c>
    </row>
    <row r="86" spans="1:8" ht="12" customHeight="1">
      <c r="A86" s="30" t="s">
        <v>105</v>
      </c>
      <c r="B86" s="5"/>
      <c r="C86" s="64"/>
      <c r="D86" s="64"/>
      <c r="E86" s="67"/>
      <c r="F86" s="94">
        <f>SVENSK!F86</f>
        <v>75.6</v>
      </c>
      <c r="G86" s="95">
        <f>SVENSK!G86</f>
        <v>75.6</v>
      </c>
      <c r="H86" s="95">
        <f>SVENSK!H86</f>
        <v>75.8</v>
      </c>
    </row>
    <row r="87" spans="1:8" ht="12" customHeight="1">
      <c r="A87" s="30" t="s">
        <v>106</v>
      </c>
      <c r="B87" s="5"/>
      <c r="C87" s="64"/>
      <c r="D87" s="64"/>
      <c r="E87" s="68"/>
      <c r="F87" s="62">
        <f>SVENSK!F87</f>
        <v>0.28458324169782273</v>
      </c>
      <c r="G87" s="63">
        <f>SVENSK!G87</f>
        <v>0.2873639795691761</v>
      </c>
      <c r="H87" s="63">
        <f>SVENSK!H87</f>
        <v>0.2819761129207383</v>
      </c>
    </row>
    <row r="88" spans="1:8" ht="12" customHeight="1">
      <c r="A88" s="30" t="s">
        <v>107</v>
      </c>
      <c r="B88" s="5"/>
      <c r="C88" s="64"/>
      <c r="D88" s="64"/>
      <c r="E88" s="65"/>
      <c r="F88" s="98">
        <f>SVENSK!F88</f>
        <v>6398</v>
      </c>
      <c r="G88" s="99">
        <f>SVENSK!G88</f>
        <v>6398</v>
      </c>
      <c r="H88" s="99">
        <f>SVENSK!H88</f>
        <v>7038</v>
      </c>
    </row>
    <row r="89" spans="1:8" ht="12" customHeight="1">
      <c r="A89" s="22" t="s">
        <v>108</v>
      </c>
      <c r="B89" s="23"/>
      <c r="C89" s="71"/>
      <c r="D89" s="71"/>
      <c r="E89" s="72"/>
      <c r="F89" s="96">
        <f>SVENSK!F89</f>
        <v>34239628</v>
      </c>
      <c r="G89" s="97">
        <f>SVENSK!G89</f>
        <v>34239628</v>
      </c>
      <c r="H89" s="97">
        <f>SVENSK!H89</f>
        <v>34239628</v>
      </c>
    </row>
    <row r="90" spans="1:8" ht="12" customHeight="1">
      <c r="A90" s="5"/>
      <c r="B90" s="5"/>
      <c r="C90" s="6"/>
      <c r="D90" s="6"/>
      <c r="E90" s="12"/>
      <c r="F90" s="13"/>
      <c r="G90" s="7"/>
      <c r="H90" s="13"/>
    </row>
    <row r="91" spans="1:8" ht="15" customHeight="1">
      <c r="A91" s="17" t="s">
        <v>133</v>
      </c>
      <c r="B91" s="18"/>
      <c r="C91" s="49"/>
      <c r="D91" s="49"/>
      <c r="E91" s="49"/>
      <c r="F91" s="49"/>
      <c r="G91" s="49"/>
      <c r="H91" s="51"/>
    </row>
    <row r="92" spans="1:8" ht="15" customHeight="1">
      <c r="A92" s="60"/>
      <c r="B92" s="16"/>
      <c r="C92" s="140"/>
      <c r="D92" s="143" t="s">
        <v>162</v>
      </c>
      <c r="E92" s="144"/>
      <c r="F92" s="137"/>
      <c r="G92" s="141" t="s">
        <v>185</v>
      </c>
      <c r="H92" s="139"/>
    </row>
    <row r="93" spans="1:8" ht="15" customHeight="1">
      <c r="A93" s="22" t="s">
        <v>56</v>
      </c>
      <c r="B93" s="23"/>
      <c r="C93" s="142" t="s">
        <v>182</v>
      </c>
      <c r="D93" s="142" t="s">
        <v>183</v>
      </c>
      <c r="E93" s="142" t="s">
        <v>184</v>
      </c>
      <c r="F93" s="142" t="s">
        <v>182</v>
      </c>
      <c r="G93" s="142" t="s">
        <v>183</v>
      </c>
      <c r="H93" s="142" t="s">
        <v>184</v>
      </c>
    </row>
    <row r="94" spans="1:8" ht="12" customHeight="1">
      <c r="A94" s="29"/>
      <c r="B94" s="5"/>
      <c r="C94" s="87"/>
      <c r="D94" s="87"/>
      <c r="E94" s="87"/>
      <c r="F94" s="87"/>
      <c r="G94" s="87"/>
      <c r="H94" s="87"/>
    </row>
    <row r="95" spans="1:8" ht="12" customHeight="1">
      <c r="A95" s="30" t="s">
        <v>157</v>
      </c>
      <c r="B95" s="5"/>
      <c r="C95" s="83">
        <f>SVENSK!C95</f>
        <v>1764</v>
      </c>
      <c r="D95" s="84">
        <f>SVENSK!D95</f>
        <v>1764</v>
      </c>
      <c r="E95" s="84">
        <f>SVENSK!E95</f>
        <v>1763</v>
      </c>
      <c r="F95" s="83">
        <f>SVENSK!F95</f>
        <v>6523</v>
      </c>
      <c r="G95" s="84">
        <f>SVENSK!G95</f>
        <v>6523</v>
      </c>
      <c r="H95" s="84">
        <f>SVENSK!H95</f>
        <v>6368</v>
      </c>
    </row>
    <row r="96" spans="1:8" ht="12" customHeight="1">
      <c r="A96" s="30" t="s">
        <v>186</v>
      </c>
      <c r="B96" s="5"/>
      <c r="C96" s="83">
        <f>SVENSK!C96</f>
        <v>399</v>
      </c>
      <c r="D96" s="84">
        <f>SVENSK!D96</f>
        <v>399</v>
      </c>
      <c r="E96" s="84">
        <f>SVENSK!E96</f>
        <v>346</v>
      </c>
      <c r="F96" s="83">
        <f>SVENSK!F96</f>
        <v>1372</v>
      </c>
      <c r="G96" s="84">
        <f>SVENSK!G96</f>
        <v>1372</v>
      </c>
      <c r="H96" s="84">
        <f>SVENSK!H96</f>
        <v>1287</v>
      </c>
    </row>
    <row r="97" spans="1:8" ht="12" customHeight="1">
      <c r="A97" s="30" t="s">
        <v>115</v>
      </c>
      <c r="B97" s="5"/>
      <c r="C97" s="83">
        <f>SVENSK!C97</f>
        <v>203</v>
      </c>
      <c r="D97" s="84">
        <f>SVENSK!D97</f>
        <v>203</v>
      </c>
      <c r="E97" s="84">
        <f>SVENSK!E97</f>
        <v>176</v>
      </c>
      <c r="F97" s="83">
        <f>SVENSK!F97</f>
        <v>800</v>
      </c>
      <c r="G97" s="84">
        <f>SVENSK!G97</f>
        <v>800</v>
      </c>
      <c r="H97" s="84">
        <f>SVENSK!H97</f>
        <v>783</v>
      </c>
    </row>
    <row r="98" spans="1:8" ht="12" customHeight="1">
      <c r="A98" s="30" t="s">
        <v>118</v>
      </c>
      <c r="C98" s="83">
        <f>SVENSK!C98</f>
        <v>126</v>
      </c>
      <c r="D98" s="84">
        <f>SVENSK!D98</f>
        <v>126</v>
      </c>
      <c r="E98" s="84">
        <f>SVENSK!E98</f>
        <v>134</v>
      </c>
      <c r="F98" s="83">
        <f>SVENSK!F98</f>
        <v>479</v>
      </c>
      <c r="G98" s="84">
        <f>SVENSK!G98</f>
        <v>479</v>
      </c>
      <c r="H98" s="84">
        <f>SVENSK!H98</f>
        <v>481</v>
      </c>
    </row>
    <row r="99" spans="1:8" ht="12" customHeight="1">
      <c r="A99" s="30" t="s">
        <v>132</v>
      </c>
      <c r="B99" s="5"/>
      <c r="C99" s="83">
        <f>SVENSK!C99</f>
        <v>472</v>
      </c>
      <c r="D99" s="84">
        <f>SVENSK!D99</f>
        <v>472</v>
      </c>
      <c r="E99" s="84">
        <f>SVENSK!E99</f>
        <v>484</v>
      </c>
      <c r="F99" s="83">
        <f>SVENSK!F99</f>
        <v>1921</v>
      </c>
      <c r="G99" s="84">
        <f>SVENSK!G99</f>
        <v>1921</v>
      </c>
      <c r="H99" s="84">
        <f>SVENSK!H99</f>
        <v>2273</v>
      </c>
    </row>
    <row r="100" spans="1:8" ht="12" customHeight="1">
      <c r="A100" s="22" t="s">
        <v>134</v>
      </c>
      <c r="B100" s="23"/>
      <c r="C100" s="90">
        <f>SVENSK!C100</f>
        <v>2964</v>
      </c>
      <c r="D100" s="91">
        <f>SVENSK!D100</f>
        <v>2964</v>
      </c>
      <c r="E100" s="91">
        <f>SVENSK!E100</f>
        <v>2903</v>
      </c>
      <c r="F100" s="90">
        <f>SVENSK!F100</f>
        <v>11095</v>
      </c>
      <c r="G100" s="91">
        <f>SVENSK!G100</f>
        <v>11095</v>
      </c>
      <c r="H100" s="91">
        <f>SVENSK!H100</f>
        <v>11192</v>
      </c>
    </row>
    <row r="101" ht="12" customHeight="1"/>
    <row r="102" spans="1:8" ht="15" customHeight="1">
      <c r="A102" s="17" t="s">
        <v>148</v>
      </c>
      <c r="B102" s="18"/>
      <c r="C102" s="49"/>
      <c r="D102" s="49"/>
      <c r="E102" s="49"/>
      <c r="F102" s="49"/>
      <c r="G102" s="49"/>
      <c r="H102" s="51"/>
    </row>
    <row r="103" spans="1:8" ht="15" customHeight="1">
      <c r="A103" s="60"/>
      <c r="B103" s="16"/>
      <c r="C103" s="16"/>
      <c r="D103" s="16"/>
      <c r="E103" s="16"/>
      <c r="F103" s="16"/>
      <c r="G103" s="16"/>
      <c r="H103" s="81" t="s">
        <v>165</v>
      </c>
    </row>
    <row r="104" spans="1:8" ht="15" customHeight="1">
      <c r="A104" s="22" t="s">
        <v>56</v>
      </c>
      <c r="B104" s="23"/>
      <c r="C104" s="23"/>
      <c r="D104" s="23"/>
      <c r="E104" s="23"/>
      <c r="F104" s="23"/>
      <c r="G104" s="23"/>
      <c r="H104" s="82">
        <v>2000</v>
      </c>
    </row>
    <row r="105" spans="1:8" ht="12" customHeight="1">
      <c r="A105" s="29"/>
      <c r="B105" s="5"/>
      <c r="C105" s="5"/>
      <c r="D105" s="5"/>
      <c r="E105" s="5"/>
      <c r="F105" s="5"/>
      <c r="G105" s="5"/>
      <c r="H105" s="87"/>
    </row>
    <row r="106" spans="1:8" ht="12" customHeight="1">
      <c r="A106" s="30" t="s">
        <v>119</v>
      </c>
      <c r="B106" s="5"/>
      <c r="C106" s="5"/>
      <c r="D106" s="5"/>
      <c r="E106" s="5"/>
      <c r="F106" s="5"/>
      <c r="G106" s="5"/>
      <c r="H106" s="106">
        <f>SVENSK!H106</f>
        <v>0.35</v>
      </c>
    </row>
    <row r="107" spans="1:8" ht="12" customHeight="1">
      <c r="A107" s="30" t="s">
        <v>135</v>
      </c>
      <c r="B107" s="5"/>
      <c r="C107" s="5"/>
      <c r="D107" s="5"/>
      <c r="E107" s="5"/>
      <c r="F107" s="5"/>
      <c r="G107" s="5"/>
      <c r="H107" s="106">
        <f>SVENSK!H107</f>
        <v>0.17</v>
      </c>
    </row>
    <row r="108" spans="1:8" ht="12" customHeight="1">
      <c r="A108" s="30" t="s">
        <v>136</v>
      </c>
      <c r="B108" s="5"/>
      <c r="C108" s="5"/>
      <c r="D108" s="5"/>
      <c r="E108" s="5"/>
      <c r="F108" s="5"/>
      <c r="G108" s="5"/>
      <c r="H108" s="106">
        <f>SVENSK!H108</f>
        <v>0.06</v>
      </c>
    </row>
    <row r="109" spans="1:8" ht="12" customHeight="1">
      <c r="A109" s="30" t="s">
        <v>137</v>
      </c>
      <c r="B109" s="5"/>
      <c r="C109" s="5"/>
      <c r="D109" s="5"/>
      <c r="E109" s="5"/>
      <c r="F109" s="5"/>
      <c r="G109" s="5"/>
      <c r="H109" s="106">
        <f>SVENSK!H109</f>
        <v>0.05</v>
      </c>
    </row>
    <row r="110" spans="1:8" ht="12" customHeight="1">
      <c r="A110" s="30" t="s">
        <v>138</v>
      </c>
      <c r="B110" s="5"/>
      <c r="C110" s="5"/>
      <c r="D110" s="5"/>
      <c r="E110" s="5"/>
      <c r="F110" s="5"/>
      <c r="G110" s="5"/>
      <c r="H110" s="106">
        <f>SVENSK!H110</f>
        <v>0.04</v>
      </c>
    </row>
    <row r="111" spans="1:8" ht="12" customHeight="1">
      <c r="A111" s="30" t="s">
        <v>140</v>
      </c>
      <c r="B111" s="5"/>
      <c r="C111" s="5"/>
      <c r="D111" s="5"/>
      <c r="E111" s="5"/>
      <c r="F111" s="5"/>
      <c r="G111" s="5"/>
      <c r="H111" s="106">
        <f>SVENSK!H111</f>
        <v>0.04</v>
      </c>
    </row>
    <row r="112" spans="1:8" ht="12" customHeight="1">
      <c r="A112" s="30" t="s">
        <v>142</v>
      </c>
      <c r="B112" s="5"/>
      <c r="C112" s="5"/>
      <c r="D112" s="5"/>
      <c r="E112" s="5"/>
      <c r="F112" s="5"/>
      <c r="G112" s="5"/>
      <c r="H112" s="106">
        <f>SVENSK!H112</f>
        <v>0.04</v>
      </c>
    </row>
    <row r="113" spans="1:8" ht="12" customHeight="1">
      <c r="A113" s="30" t="s">
        <v>141</v>
      </c>
      <c r="B113" s="5"/>
      <c r="C113" s="5"/>
      <c r="D113" s="5"/>
      <c r="E113" s="5"/>
      <c r="F113" s="5"/>
      <c r="G113" s="5"/>
      <c r="H113" s="106">
        <f>SVENSK!H113</f>
        <v>0.03</v>
      </c>
    </row>
    <row r="114" spans="1:8" ht="12" customHeight="1">
      <c r="A114" s="30" t="s">
        <v>139</v>
      </c>
      <c r="B114" s="5"/>
      <c r="C114" s="5"/>
      <c r="D114" s="5"/>
      <c r="E114" s="5"/>
      <c r="F114" s="5"/>
      <c r="G114" s="5"/>
      <c r="H114" s="106">
        <f>SVENSK!H114</f>
        <v>0.03</v>
      </c>
    </row>
    <row r="115" spans="1:8" ht="12" customHeight="1">
      <c r="A115" s="30" t="s">
        <v>149</v>
      </c>
      <c r="B115" s="5"/>
      <c r="C115" s="5"/>
      <c r="D115" s="5"/>
      <c r="E115" s="5"/>
      <c r="F115" s="5"/>
      <c r="G115" s="5"/>
      <c r="H115" s="106">
        <f>SVENSK!H115</f>
        <v>0.03</v>
      </c>
    </row>
    <row r="116" spans="1:8" ht="12" customHeight="1">
      <c r="A116" s="30" t="s">
        <v>143</v>
      </c>
      <c r="B116" s="5"/>
      <c r="C116" s="5"/>
      <c r="D116" s="5"/>
      <c r="E116" s="5"/>
      <c r="F116" s="5"/>
      <c r="G116" s="5"/>
      <c r="H116" s="106">
        <f>SVENSK!H116</f>
        <v>0.16</v>
      </c>
    </row>
    <row r="117" spans="1:8" ht="12" customHeight="1">
      <c r="A117" s="22" t="s">
        <v>146</v>
      </c>
      <c r="B117" s="23"/>
      <c r="C117" s="23"/>
      <c r="D117" s="23"/>
      <c r="E117" s="23"/>
      <c r="F117" s="23"/>
      <c r="G117" s="23"/>
      <c r="H117" s="107">
        <f>SVENSK!H117</f>
        <v>1.0000000000000002</v>
      </c>
    </row>
    <row r="118" spans="1:8" ht="12" customHeight="1">
      <c r="A118" s="24"/>
      <c r="B118" s="5"/>
      <c r="C118" s="5"/>
      <c r="D118" s="5"/>
      <c r="E118" s="92"/>
      <c r="F118" s="93"/>
      <c r="G118" s="92"/>
      <c r="H118" s="93"/>
    </row>
    <row r="119" spans="1:8" ht="12" customHeight="1">
      <c r="A119" s="24"/>
      <c r="B119" s="5"/>
      <c r="C119" s="5"/>
      <c r="D119" s="5"/>
      <c r="E119" s="92"/>
      <c r="F119" s="93"/>
      <c r="G119" s="92"/>
      <c r="H119" s="93"/>
    </row>
    <row r="120" spans="1:8" ht="12" customHeight="1">
      <c r="A120" s="5"/>
      <c r="B120" s="5"/>
      <c r="C120" s="5"/>
      <c r="D120" s="5"/>
      <c r="E120" s="92"/>
      <c r="F120" s="93"/>
      <c r="G120" s="92"/>
      <c r="H120" s="93"/>
    </row>
    <row r="121" spans="1:8" ht="12" customHeight="1">
      <c r="A121" s="5"/>
      <c r="B121" s="5"/>
      <c r="C121" s="5"/>
      <c r="D121" s="5"/>
      <c r="E121" s="92"/>
      <c r="F121" s="93"/>
      <c r="G121" s="92"/>
      <c r="H121" s="93"/>
    </row>
    <row r="122" spans="1:8" ht="12" customHeight="1">
      <c r="A122" s="5"/>
      <c r="B122" s="5"/>
      <c r="C122" s="5"/>
      <c r="D122" s="5"/>
      <c r="E122" s="92"/>
      <c r="F122" s="93"/>
      <c r="G122" s="92"/>
      <c r="H122" s="93"/>
    </row>
    <row r="123" spans="1:8" ht="12" customHeight="1">
      <c r="A123" s="5"/>
      <c r="B123" s="5"/>
      <c r="C123" s="5"/>
      <c r="D123" s="5"/>
      <c r="E123" s="92"/>
      <c r="F123" s="93"/>
      <c r="G123" s="92"/>
      <c r="H123" s="93"/>
    </row>
    <row r="124" spans="1:8" ht="12" customHeight="1">
      <c r="A124" s="5"/>
      <c r="B124" s="5"/>
      <c r="C124" s="5"/>
      <c r="D124" s="5"/>
      <c r="E124" s="5"/>
      <c r="F124" s="5"/>
      <c r="G124" s="5"/>
      <c r="H124" s="14">
        <v>2</v>
      </c>
    </row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</sheetData>
  <printOptions/>
  <pageMargins left="0.7874015748031497" right="0.5905511811023623" top="0.7874015748031497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Esselte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Alestam</dc:creator>
  <cp:keywords/>
  <dc:description/>
  <cp:lastModifiedBy>Jan Alestam</cp:lastModifiedBy>
  <cp:lastPrinted>2001-02-20T11:25:06Z</cp:lastPrinted>
  <dcterms:created xsi:type="dcterms:W3CDTF">2000-04-14T09:10:48Z</dcterms:created>
  <cp:category/>
  <cp:version/>
  <cp:contentType/>
  <cp:contentStatus/>
</cp:coreProperties>
</file>