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5" yWindow="1110" windowWidth="9015" windowHeight="4710" tabRatio="1000" activeTab="2"/>
  </bookViews>
  <sheets>
    <sheet name="Beräkn Nyckeltal" sheetId="1" r:id="rId1"/>
    <sheet name="2000 09 30" sheetId="2" r:id="rId2"/>
    <sheet name="2000 12 31" sheetId="3" r:id="rId3"/>
    <sheet name="Blad14" sheetId="4" r:id="rId4"/>
    <sheet name="Blad15" sheetId="5" r:id="rId5"/>
    <sheet name="Blad16" sheetId="6" r:id="rId6"/>
  </sheets>
  <definedNames/>
  <calcPr fullCalcOnLoad="1"/>
</workbook>
</file>

<file path=xl/sharedStrings.xml><?xml version="1.0" encoding="utf-8"?>
<sst xmlns="http://schemas.openxmlformats.org/spreadsheetml/2006/main" count="277" uniqueCount="148">
  <si>
    <t xml:space="preserve"> </t>
  </si>
  <si>
    <t>Nettoomsättning</t>
  </si>
  <si>
    <t>Bruttoresultat</t>
  </si>
  <si>
    <t>Försäljningskostnader</t>
  </si>
  <si>
    <t>Administrationskostnader</t>
  </si>
  <si>
    <t>Övriga rörelseintäkter</t>
  </si>
  <si>
    <t>Rörelseresultat</t>
  </si>
  <si>
    <t>Finansnetto</t>
  </si>
  <si>
    <t>Vinst före skatt</t>
  </si>
  <si>
    <t xml:space="preserve">Skattekostnad </t>
  </si>
  <si>
    <t xml:space="preserve">Nettovinst </t>
  </si>
  <si>
    <t>Immateriella anläggningstillgångar</t>
  </si>
  <si>
    <t>Materiella anläggningstillgångar</t>
  </si>
  <si>
    <t>Varulager</t>
  </si>
  <si>
    <t>Fordringar</t>
  </si>
  <si>
    <t>Kassa och bank</t>
  </si>
  <si>
    <t>Eget kapital</t>
  </si>
  <si>
    <t>Avsättningar</t>
  </si>
  <si>
    <t>Omsättning</t>
  </si>
  <si>
    <t>Pastejköket</t>
  </si>
  <si>
    <t>Charkdelikatesser</t>
  </si>
  <si>
    <t>Koncerngemensamt</t>
  </si>
  <si>
    <t>Koncernen</t>
  </si>
  <si>
    <t>Nyckeltal</t>
  </si>
  <si>
    <t>12 mån</t>
  </si>
  <si>
    <t>Omsättning, Mkr</t>
  </si>
  <si>
    <t>Rörelseresultat, Mkr</t>
  </si>
  <si>
    <t>Rörelsemarginal, %</t>
  </si>
  <si>
    <t>Genomsnittligt operativt kapital, Mkr</t>
  </si>
  <si>
    <t>Räntabilitet på operativt kapital, %</t>
  </si>
  <si>
    <t>Soliditet, %</t>
  </si>
  <si>
    <t>Antal aktier (miljoner)</t>
  </si>
  <si>
    <t xml:space="preserve">Antal anställda </t>
  </si>
  <si>
    <t>Avskrivningar</t>
  </si>
  <si>
    <t>Investeringar i matriella anläggningstillgångar (netto)</t>
  </si>
  <si>
    <t>Investeringar i immateriella anläggningstillgångar</t>
  </si>
  <si>
    <t>Förändring i rörelsekapital</t>
  </si>
  <si>
    <t>Utdelning</t>
  </si>
  <si>
    <t>Förändring i likvida medel</t>
  </si>
  <si>
    <t>Storhushåll</t>
  </si>
  <si>
    <t>storhushållsmarknaden. Företaget grundades 1984.</t>
  </si>
  <si>
    <r>
      <t>Sarduskoncernens resultaträkning (</t>
    </r>
    <r>
      <rPr>
        <b/>
        <i/>
        <sz val="10"/>
        <rFont val="Times New Roman"/>
        <family val="1"/>
      </rPr>
      <t>Mkr</t>
    </r>
    <r>
      <rPr>
        <b/>
        <sz val="10"/>
        <rFont val="Times New Roman"/>
        <family val="1"/>
      </rPr>
      <t>)</t>
    </r>
  </si>
  <si>
    <r>
      <t>Sarduskoncernens balansräkning (</t>
    </r>
    <r>
      <rPr>
        <b/>
        <i/>
        <sz val="10"/>
        <rFont val="Times New Roman"/>
        <family val="1"/>
      </rPr>
      <t>Mkr</t>
    </r>
    <r>
      <rPr>
        <b/>
        <sz val="10"/>
        <rFont val="Times New Roman"/>
        <family val="1"/>
      </rPr>
      <t>)</t>
    </r>
  </si>
  <si>
    <r>
      <t>Pastejköket</t>
    </r>
    <r>
      <rPr>
        <sz val="10"/>
        <rFont val="Times New Roman"/>
        <family val="1"/>
      </rPr>
      <t xml:space="preserve"> är marknadsledande på bordsaskar för leverpastej. Flertalet av företagets</t>
    </r>
  </si>
  <si>
    <r>
      <t xml:space="preserve">produkter är välkända i många hem: </t>
    </r>
    <r>
      <rPr>
        <b/>
        <sz val="10"/>
        <rFont val="Times New Roman"/>
        <family val="1"/>
      </rPr>
      <t>Lindbergs</t>
    </r>
    <r>
      <rPr>
        <sz val="10"/>
        <rFont val="Times New Roman"/>
        <family val="1"/>
      </rPr>
      <t xml:space="preserve"> och </t>
    </r>
    <r>
      <rPr>
        <b/>
        <sz val="10"/>
        <rFont val="Times New Roman"/>
        <family val="1"/>
      </rPr>
      <t>Arboga-paste</t>
    </r>
    <r>
      <rPr>
        <sz val="10"/>
        <rFont val="Times New Roman"/>
        <family val="1"/>
      </rPr>
      <t xml:space="preserve">j, </t>
    </r>
    <r>
      <rPr>
        <b/>
        <sz val="10"/>
        <rFont val="Times New Roman"/>
        <family val="1"/>
      </rPr>
      <t>Norrboda korv</t>
    </r>
    <r>
      <rPr>
        <sz val="10"/>
        <rFont val="Times New Roman"/>
        <family val="1"/>
      </rPr>
      <t xml:space="preserve"> och inte</t>
    </r>
  </si>
  <si>
    <r>
      <t>Charkdelikatesser</t>
    </r>
    <r>
      <rPr>
        <sz val="10"/>
        <rFont val="Times New Roman"/>
        <family val="1"/>
      </rPr>
      <t xml:space="preserve"> i Halmstad tillverkar och marknadsför charkprodukter. Den populära </t>
    </r>
  </si>
  <si>
    <r>
      <t>Dagens Rätt Storkök</t>
    </r>
    <r>
      <rPr>
        <sz val="10"/>
        <rFont val="Times New Roman"/>
        <family val="1"/>
      </rPr>
      <t xml:space="preserve"> tillhör de ledande leverantörerna av djupfrysta livsmedel till</t>
    </r>
  </si>
  <si>
    <t>Övriga skulder</t>
  </si>
  <si>
    <t>Betald skatt</t>
  </si>
  <si>
    <t>Övriga ej likvidpåverkande poster</t>
  </si>
  <si>
    <t>Upptagna lån mm</t>
  </si>
  <si>
    <t>Denna bokslutsrapport har ej granskats av bolagets revisorer.</t>
  </si>
  <si>
    <t>Bruttoinvesteringar, exkl förvärv, Mkr</t>
  </si>
  <si>
    <t>helår</t>
  </si>
  <si>
    <t xml:space="preserve">Rullande </t>
  </si>
  <si>
    <t>Helår</t>
  </si>
  <si>
    <t>Rullande</t>
  </si>
  <si>
    <r>
      <t xml:space="preserve">minst </t>
    </r>
    <r>
      <rPr>
        <b/>
        <sz val="10"/>
        <rFont val="Times New Roman"/>
        <family val="1"/>
      </rPr>
      <t>Lönneberga skinka</t>
    </r>
    <r>
      <rPr>
        <sz val="10"/>
        <rFont val="Times New Roman"/>
        <family val="1"/>
      </rPr>
      <t xml:space="preserve"> samt </t>
    </r>
    <r>
      <rPr>
        <b/>
        <sz val="10"/>
        <rFont val="Times New Roman"/>
        <family val="1"/>
      </rPr>
      <t>Onsalakorv</t>
    </r>
    <r>
      <rPr>
        <sz val="10"/>
        <rFont val="Times New Roman"/>
        <family val="1"/>
      </rPr>
      <t>. Pastejköket grundades 1970.</t>
    </r>
  </si>
  <si>
    <t>Avkastning på eget kapital, %</t>
  </si>
  <si>
    <t>Vinst per aktie, kronor</t>
  </si>
  <si>
    <t>Eget kapital, Mkr</t>
  </si>
  <si>
    <r>
      <t xml:space="preserve">Cognacsmedwursten är Charkdelikatessers mest kända produkt. Övriga kända produkter är </t>
    </r>
    <r>
      <rPr>
        <b/>
        <sz val="10"/>
        <rFont val="Times New Roman"/>
        <family val="1"/>
      </rPr>
      <t xml:space="preserve"> </t>
    </r>
  </si>
  <si>
    <r>
      <t>Eliassons Guldkassler</t>
    </r>
    <r>
      <rPr>
        <sz val="10"/>
        <rFont val="Times New Roman"/>
        <family val="1"/>
      </rPr>
      <t xml:space="preserve"> och </t>
    </r>
    <r>
      <rPr>
        <b/>
        <sz val="10"/>
        <rFont val="Times New Roman"/>
        <family val="1"/>
      </rPr>
      <t xml:space="preserve">Gea's </t>
    </r>
    <r>
      <rPr>
        <sz val="10"/>
        <rFont val="Times New Roman"/>
        <family val="1"/>
      </rPr>
      <t>blodpudding. Charkdelikatesser grundades 1965</t>
    </r>
  </si>
  <si>
    <t>99 12 31</t>
  </si>
  <si>
    <t>3-stjernet A/S</t>
  </si>
  <si>
    <t>Ekonomisk information 2000/2001</t>
  </si>
  <si>
    <t>Avskrivningar immateriella anl tillg, Mkr</t>
  </si>
  <si>
    <t>Avskrivningar anl tillgångar, Mkr</t>
  </si>
  <si>
    <t>15 januari 2001</t>
  </si>
  <si>
    <t>Preliminärt resultat 2000</t>
  </si>
  <si>
    <t>15 februari 2001</t>
  </si>
  <si>
    <t>28 mars 2001</t>
  </si>
  <si>
    <t>Bolagsstämma</t>
  </si>
  <si>
    <t>dukter som salami. C a 30 % av verksamheten avser export. Företaget grundades 1950.</t>
  </si>
  <si>
    <t>Anläggningstillgångar</t>
  </si>
  <si>
    <t>Omsättningstillgångar</t>
  </si>
  <si>
    <t>Summa tillgångar</t>
  </si>
  <si>
    <t>och skulder</t>
  </si>
  <si>
    <t>Kassaflöde från den löpande verksamheten</t>
  </si>
  <si>
    <t>Förvärv av dotterbolag</t>
  </si>
  <si>
    <t>Kostnad sålda varor</t>
  </si>
  <si>
    <t>goodwillavskrivningar</t>
  </si>
  <si>
    <t xml:space="preserve">Rörelseresultat före </t>
  </si>
  <si>
    <t>Goodwillavskrivningar</t>
  </si>
  <si>
    <t>Tillgångar</t>
  </si>
  <si>
    <t>Eget kapital och skulder</t>
  </si>
  <si>
    <t>Rörelseresultat före</t>
  </si>
  <si>
    <t>Resultat före goodwillavskrivn, Mkr</t>
  </si>
  <si>
    <t>Marginal före goodwillavskrivnin, %</t>
  </si>
  <si>
    <r>
      <t>Sardus</t>
    </r>
    <r>
      <rPr>
        <sz val="10"/>
        <rFont val="Times New Roman"/>
        <family val="1"/>
      </rPr>
      <t xml:space="preserve"> är en av Sveriges ledande tillverkare av charkuteriprodukter och leverantörer av</t>
    </r>
  </si>
  <si>
    <t xml:space="preserve">djupfrysta livsmedel för storhushåll. Produkterna marknadsförs under välkända och starka </t>
  </si>
  <si>
    <t>varumärken.</t>
  </si>
  <si>
    <t>Bokslut 2000</t>
  </si>
  <si>
    <t>Likvida medel vid periodens slut</t>
  </si>
  <si>
    <t>Likvida medel vid periodens början</t>
  </si>
  <si>
    <t>Operativt kapital</t>
  </si>
  <si>
    <t>Balansomslutning</t>
  </si>
  <si>
    <t>minus ickeräntebärande skulder</t>
  </si>
  <si>
    <t>minus likvida medel</t>
  </si>
  <si>
    <t>99 06</t>
  </si>
  <si>
    <t>00 06</t>
  </si>
  <si>
    <t>99 12</t>
  </si>
  <si>
    <t>00 03</t>
  </si>
  <si>
    <t>Genomsnittligt helår</t>
  </si>
  <si>
    <t>Genomsnittligt kvartal</t>
  </si>
  <si>
    <t>minus avsättningar</t>
  </si>
  <si>
    <t>Räntabilitet på operativt kap helår</t>
  </si>
  <si>
    <t>Räntabilitet på operativt kap kvartal</t>
  </si>
  <si>
    <r>
      <t>3-stjernet A/S</t>
    </r>
    <r>
      <rPr>
        <sz val="10"/>
        <rFont val="Times New Roman"/>
        <family val="1"/>
      </rPr>
      <t xml:space="preserve"> är ett av Danmarks ledande tillverkare av köttbaserade påläggspro-</t>
    </r>
  </si>
  <si>
    <r>
      <t xml:space="preserve">Sarduskoncernens omsättning och resultat före goodwillavskrivningar per affärsenhet </t>
    </r>
    <r>
      <rPr>
        <b/>
        <i/>
        <sz val="10"/>
        <rFont val="Times New Roman"/>
        <family val="1"/>
      </rPr>
      <t>(Mkr)</t>
    </r>
  </si>
  <si>
    <r>
      <t xml:space="preserve">Kassaflödesanalys </t>
    </r>
    <r>
      <rPr>
        <b/>
        <i/>
        <sz val="10"/>
        <rFont val="Times New Roman"/>
        <family val="1"/>
      </rPr>
      <t>(Mkr)</t>
    </r>
  </si>
  <si>
    <t>Räntebärande skulder</t>
  </si>
  <si>
    <t xml:space="preserve">Summa eget kapital </t>
  </si>
  <si>
    <t>DELÅRSRAPPORT JANUARI-SEPTEMBER 2000</t>
  </si>
  <si>
    <t>9 månader</t>
  </si>
  <si>
    <t xml:space="preserve">3:e kvartalet </t>
  </si>
  <si>
    <t>00 09 30</t>
  </si>
  <si>
    <t>99 09 30</t>
  </si>
  <si>
    <t>3:e kvartalet</t>
  </si>
  <si>
    <t>9 mån</t>
  </si>
  <si>
    <t>SPP-medel</t>
  </si>
  <si>
    <t>00 09</t>
  </si>
  <si>
    <t>99 09</t>
  </si>
  <si>
    <t>12 månader</t>
  </si>
  <si>
    <t>00 12 31</t>
  </si>
  <si>
    <t>Kvartal 4</t>
  </si>
  <si>
    <t>98 12 31</t>
  </si>
  <si>
    <t>Finansiella anläggningstillgångar</t>
  </si>
  <si>
    <t>00 12</t>
  </si>
  <si>
    <t>Resultat efter skatt</t>
  </si>
  <si>
    <t>Avkastning eget kapital helår</t>
  </si>
  <si>
    <t>Avkastning eget kapital kvartal</t>
  </si>
  <si>
    <t>Resultat efter skatt kvartal</t>
  </si>
  <si>
    <t>Soliditet</t>
  </si>
  <si>
    <t>Ekonomisk information 2001</t>
  </si>
  <si>
    <t>19 april 2001</t>
  </si>
  <si>
    <t>Delårsrapport kv 1</t>
  </si>
  <si>
    <t>17 juli 2001</t>
  </si>
  <si>
    <t>Halvårsrapport</t>
  </si>
  <si>
    <t>17 oktober 2001</t>
  </si>
  <si>
    <t>Delårsrapport kv 3</t>
  </si>
  <si>
    <t>Årsredovisningen för verksamhetsåret 2000 kommer att distribueras minst fjorton dagar före bolagsstämman.</t>
  </si>
  <si>
    <t>BOKSLUTSKOMMUNIKÉ JANUARI-DECEMBER 2000</t>
  </si>
  <si>
    <t>Bruttoinvesteringar, exkl. förvärv, Mkr</t>
  </si>
  <si>
    <t>Avskrivningar anl. tillgångar, Mkr</t>
  </si>
  <si>
    <t>Avskrivningar immateriella anl. tillg, Mkr</t>
  </si>
  <si>
    <t>Investeringar i materiella anläggningstillgångar (netto)</t>
  </si>
  <si>
    <t>Bolagsstämma, IVA konferenscenter, 16.00, Stockholm</t>
  </si>
</sst>
</file>

<file path=xl/styles.xml><?xml version="1.0" encoding="utf-8"?>
<styleSheet xmlns="http://schemas.openxmlformats.org/spreadsheetml/2006/main">
  <numFmts count="2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"/>
    <numFmt numFmtId="165" formatCode="0.0%"/>
    <numFmt numFmtId="166" formatCode="0.00000"/>
    <numFmt numFmtId="167" formatCode="0.0000"/>
    <numFmt numFmtId="168" formatCode="0.000"/>
    <numFmt numFmtId="169" formatCode="0.0E+00"/>
    <numFmt numFmtId="170" formatCode="0E+00"/>
    <numFmt numFmtId="171" formatCode="0.000E+00"/>
    <numFmt numFmtId="172" formatCode="0.0000E+00"/>
    <numFmt numFmtId="173" formatCode="_-* #,##0.0\ _k_r_-;\-* #,##0.0\ _k_r_-;_-* &quot;-&quot;??\ _k_r_-;_-@_-"/>
    <numFmt numFmtId="174" formatCode="_-* #,##0.0\ _k_r_-;\-* #,##0.0\ _k_r_-;_-* &quot;-&quot;?\ _k_r_-;_-@_-"/>
    <numFmt numFmtId="175" formatCode="_-* #,##0\ _k_r_-;\-* #,##0\ _k_r_-;_-* &quot;-&quot;??\ _k_r_-;_-@_-"/>
    <numFmt numFmtId="176" formatCode="0.0000000"/>
    <numFmt numFmtId="177" formatCode="0.000000"/>
  </numFmts>
  <fonts count="1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u val="single"/>
      <sz val="10"/>
      <name val="Times New Roman"/>
      <family val="1"/>
    </font>
    <font>
      <i/>
      <sz val="8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" xfId="0" applyFont="1" applyBorder="1" applyAlignment="1">
      <alignment/>
    </xf>
    <xf numFmtId="0" fontId="4" fillId="0" borderId="1" xfId="0" applyFont="1" applyBorder="1" applyAlignment="1">
      <alignment/>
    </xf>
    <xf numFmtId="0" fontId="5" fillId="0" borderId="0" xfId="0" applyFont="1" applyAlignment="1">
      <alignment horizontal="center"/>
    </xf>
    <xf numFmtId="1" fontId="5" fillId="0" borderId="0" xfId="0" applyNumberFormat="1" applyFont="1" applyAlignment="1">
      <alignment horizontal="center"/>
    </xf>
    <xf numFmtId="0" fontId="7" fillId="0" borderId="1" xfId="0" applyFont="1" applyBorder="1" applyAlignment="1">
      <alignment/>
    </xf>
    <xf numFmtId="0" fontId="5" fillId="0" borderId="1" xfId="0" applyFon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164" fontId="5" fillId="0" borderId="0" xfId="0" applyNumberFormat="1" applyFont="1" applyAlignment="1">
      <alignment/>
    </xf>
    <xf numFmtId="1" fontId="4" fillId="0" borderId="0" xfId="0" applyNumberFormat="1" applyFont="1" applyAlignment="1">
      <alignment/>
    </xf>
    <xf numFmtId="0" fontId="5" fillId="0" borderId="2" xfId="0" applyFont="1" applyBorder="1" applyAlignment="1">
      <alignment/>
    </xf>
    <xf numFmtId="0" fontId="4" fillId="0" borderId="2" xfId="0" applyFont="1" applyBorder="1" applyAlignment="1">
      <alignment/>
    </xf>
    <xf numFmtId="0" fontId="5" fillId="0" borderId="2" xfId="0" applyFont="1" applyBorder="1" applyAlignment="1">
      <alignment horizontal="left"/>
    </xf>
    <xf numFmtId="175" fontId="8" fillId="0" borderId="0" xfId="18" applyNumberFormat="1" applyFont="1" applyAlignment="1">
      <alignment/>
    </xf>
    <xf numFmtId="0" fontId="4" fillId="0" borderId="3" xfId="0" applyFont="1" applyBorder="1" applyAlignment="1">
      <alignment/>
    </xf>
    <xf numFmtId="0" fontId="5" fillId="0" borderId="3" xfId="0" applyFont="1" applyBorder="1" applyAlignment="1">
      <alignment horizontal="center"/>
    </xf>
    <xf numFmtId="165" fontId="4" fillId="0" borderId="0" xfId="17" applyNumberFormat="1" applyFont="1" applyAlignment="1">
      <alignment/>
    </xf>
    <xf numFmtId="9" fontId="4" fillId="0" borderId="0" xfId="17" applyNumberFormat="1" applyFont="1" applyAlignment="1">
      <alignment/>
    </xf>
    <xf numFmtId="2" fontId="4" fillId="0" borderId="0" xfId="0" applyNumberFormat="1" applyFont="1" applyAlignment="1">
      <alignment/>
    </xf>
    <xf numFmtId="164" fontId="4" fillId="0" borderId="0" xfId="0" applyNumberFormat="1" applyFont="1" applyAlignment="1">
      <alignment/>
    </xf>
    <xf numFmtId="0" fontId="5" fillId="0" borderId="3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7" xfId="0" applyFont="1" applyBorder="1" applyAlignment="1">
      <alignment/>
    </xf>
    <xf numFmtId="0" fontId="5" fillId="0" borderId="6" xfId="0" applyFont="1" applyBorder="1" applyAlignment="1">
      <alignment/>
    </xf>
    <xf numFmtId="0" fontId="4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4" fillId="0" borderId="10" xfId="0" applyFont="1" applyBorder="1" applyAlignment="1">
      <alignment/>
    </xf>
    <xf numFmtId="0" fontId="9" fillId="0" borderId="0" xfId="0" applyFont="1" applyAlignment="1">
      <alignment/>
    </xf>
    <xf numFmtId="175" fontId="4" fillId="0" borderId="0" xfId="18" applyNumberFormat="1" applyFont="1" applyAlignment="1">
      <alignment/>
    </xf>
    <xf numFmtId="175" fontId="4" fillId="0" borderId="1" xfId="18" applyNumberFormat="1" applyFont="1" applyBorder="1" applyAlignment="1">
      <alignment/>
    </xf>
    <xf numFmtId="173" fontId="4" fillId="0" borderId="0" xfId="18" applyNumberFormat="1" applyFont="1" applyAlignment="1">
      <alignment/>
    </xf>
    <xf numFmtId="175" fontId="4" fillId="0" borderId="0" xfId="18" applyNumberFormat="1" applyFont="1" applyBorder="1" applyAlignment="1">
      <alignment/>
    </xf>
    <xf numFmtId="175" fontId="4" fillId="0" borderId="0" xfId="18" applyNumberFormat="1" applyFont="1" applyAlignment="1">
      <alignment horizontal="right"/>
    </xf>
    <xf numFmtId="43" fontId="4" fillId="0" borderId="0" xfId="18" applyNumberFormat="1" applyFont="1" applyAlignment="1">
      <alignment/>
    </xf>
    <xf numFmtId="164" fontId="4" fillId="0" borderId="0" xfId="17" applyNumberFormat="1" applyFont="1" applyAlignment="1">
      <alignment horizontal="center"/>
    </xf>
    <xf numFmtId="1" fontId="4" fillId="0" borderId="0" xfId="17" applyNumberFormat="1" applyFont="1" applyAlignment="1">
      <alignment horizontal="center"/>
    </xf>
    <xf numFmtId="175" fontId="4" fillId="0" borderId="0" xfId="18" applyNumberFormat="1" applyFont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4" fillId="0" borderId="11" xfId="0" applyFont="1" applyBorder="1" applyAlignment="1">
      <alignment/>
    </xf>
    <xf numFmtId="175" fontId="5" fillId="0" borderId="0" xfId="18" applyNumberFormat="1" applyFont="1" applyAlignment="1">
      <alignment/>
    </xf>
    <xf numFmtId="175" fontId="5" fillId="0" borderId="0" xfId="18" applyNumberFormat="1" applyFont="1" applyAlignment="1">
      <alignment horizontal="right"/>
    </xf>
    <xf numFmtId="1" fontId="5" fillId="0" borderId="0" xfId="0" applyNumberFormat="1" applyFont="1" applyAlignment="1">
      <alignment/>
    </xf>
    <xf numFmtId="175" fontId="5" fillId="0" borderId="0" xfId="18" applyNumberFormat="1" applyFont="1" applyBorder="1" applyAlignment="1">
      <alignment/>
    </xf>
    <xf numFmtId="175" fontId="5" fillId="0" borderId="1" xfId="18" applyNumberFormat="1" applyFont="1" applyBorder="1" applyAlignment="1">
      <alignment/>
    </xf>
    <xf numFmtId="175" fontId="4" fillId="0" borderId="1" xfId="18" applyNumberFormat="1" applyFont="1" applyBorder="1" applyAlignment="1">
      <alignment horizontal="right"/>
    </xf>
    <xf numFmtId="173" fontId="4" fillId="0" borderId="0" xfId="18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165" fontId="0" fillId="0" borderId="0" xfId="17" applyNumberFormat="1" applyAlignment="1">
      <alignment/>
    </xf>
    <xf numFmtId="0" fontId="5" fillId="0" borderId="1" xfId="0" applyFont="1" applyBorder="1" applyAlignment="1">
      <alignment horizontal="right"/>
    </xf>
    <xf numFmtId="1" fontId="0" fillId="0" borderId="0" xfId="0" applyNumberFormat="1" applyAlignment="1">
      <alignment/>
    </xf>
    <xf numFmtId="0" fontId="5" fillId="0" borderId="3" xfId="0" applyFont="1" applyBorder="1" applyAlignment="1">
      <alignment horizontal="center"/>
    </xf>
    <xf numFmtId="0" fontId="5" fillId="0" borderId="0" xfId="0" applyFont="1" applyBorder="1" applyAlignment="1">
      <alignment horizontal="center"/>
    </xf>
  </cellXfs>
  <cellStyles count="8">
    <cellStyle name="Normal" xfId="0"/>
    <cellStyle name="Followed Hyperlink" xfId="15"/>
    <cellStyle name="Hyperlink" xfId="16"/>
    <cellStyle name="Percent" xfId="17"/>
    <cellStyle name="Comma" xfId="18"/>
    <cellStyle name="Comma [0]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"/>
  <sheetViews>
    <sheetView workbookViewId="0" topLeftCell="A3">
      <selection activeCell="H24" sqref="H24"/>
    </sheetView>
  </sheetViews>
  <sheetFormatPr defaultColWidth="9.140625" defaultRowHeight="12.75"/>
  <cols>
    <col min="1" max="1" width="27.421875" style="0" customWidth="1"/>
    <col min="2" max="2" width="7.00390625" style="0" customWidth="1"/>
    <col min="3" max="3" width="7.140625" style="0" customWidth="1"/>
    <col min="4" max="4" width="7.7109375" style="0" customWidth="1"/>
    <col min="5" max="5" width="7.28125" style="0" customWidth="1"/>
    <col min="6" max="6" width="7.421875" style="0" customWidth="1"/>
    <col min="7" max="7" width="7.140625" style="0" customWidth="1"/>
  </cols>
  <sheetData>
    <row r="1" ht="12.75">
      <c r="A1" s="56" t="s">
        <v>95</v>
      </c>
    </row>
    <row r="2" spans="2:8" ht="12.75">
      <c r="B2" s="55" t="s">
        <v>99</v>
      </c>
      <c r="C2" s="55" t="s">
        <v>122</v>
      </c>
      <c r="D2" s="55" t="s">
        <v>101</v>
      </c>
      <c r="E2" s="55" t="s">
        <v>102</v>
      </c>
      <c r="F2" s="55" t="s">
        <v>100</v>
      </c>
      <c r="G2" s="56" t="s">
        <v>121</v>
      </c>
      <c r="H2" s="56" t="s">
        <v>128</v>
      </c>
    </row>
    <row r="3" spans="1:8" ht="12.75">
      <c r="A3" t="s">
        <v>96</v>
      </c>
      <c r="B3">
        <v>450</v>
      </c>
      <c r="C3">
        <v>471</v>
      </c>
      <c r="D3">
        <v>917</v>
      </c>
      <c r="E3">
        <v>882</v>
      </c>
      <c r="F3">
        <v>885</v>
      </c>
      <c r="G3">
        <v>911</v>
      </c>
      <c r="H3">
        <v>871</v>
      </c>
    </row>
    <row r="4" spans="1:8" ht="12.75">
      <c r="A4" t="s">
        <v>97</v>
      </c>
      <c r="B4">
        <v>-88</v>
      </c>
      <c r="C4">
        <v>-99</v>
      </c>
      <c r="D4">
        <v>-442</v>
      </c>
      <c r="E4">
        <v>-129</v>
      </c>
      <c r="F4">
        <v>-126</v>
      </c>
      <c r="G4">
        <v>-143</v>
      </c>
      <c r="H4">
        <v>-113</v>
      </c>
    </row>
    <row r="5" spans="1:8" ht="12.75">
      <c r="A5" t="s">
        <v>105</v>
      </c>
      <c r="B5">
        <v>-49</v>
      </c>
      <c r="C5">
        <v>-46</v>
      </c>
      <c r="D5">
        <v>-71</v>
      </c>
      <c r="E5">
        <v>-73</v>
      </c>
      <c r="F5">
        <v>-73</v>
      </c>
      <c r="G5">
        <v>-73</v>
      </c>
      <c r="H5">
        <v>-70</v>
      </c>
    </row>
    <row r="6" spans="1:8" ht="12.75">
      <c r="A6" t="s">
        <v>98</v>
      </c>
      <c r="B6" s="57">
        <v>-20</v>
      </c>
      <c r="C6" s="57">
        <v>-22</v>
      </c>
      <c r="D6" s="57">
        <v>-46</v>
      </c>
      <c r="E6" s="57">
        <v>-13</v>
      </c>
      <c r="F6" s="57">
        <v>-15</v>
      </c>
      <c r="G6" s="57">
        <v>-13</v>
      </c>
      <c r="H6" s="57">
        <v>-18</v>
      </c>
    </row>
    <row r="7" spans="2:8" ht="12.75">
      <c r="B7">
        <f aca="true" t="shared" si="0" ref="B7:H7">SUM(B3:B6)</f>
        <v>293</v>
      </c>
      <c r="C7">
        <f t="shared" si="0"/>
        <v>304</v>
      </c>
      <c r="D7">
        <f t="shared" si="0"/>
        <v>358</v>
      </c>
      <c r="E7">
        <f t="shared" si="0"/>
        <v>667</v>
      </c>
      <c r="F7">
        <f t="shared" si="0"/>
        <v>671</v>
      </c>
      <c r="G7">
        <f t="shared" si="0"/>
        <v>682</v>
      </c>
      <c r="H7">
        <f t="shared" si="0"/>
        <v>670</v>
      </c>
    </row>
    <row r="9" spans="1:8" ht="12.75">
      <c r="A9" t="s">
        <v>103</v>
      </c>
      <c r="F9">
        <f>(B7+F7)/2</f>
        <v>482</v>
      </c>
      <c r="G9">
        <f>(C7+G7)/2</f>
        <v>493</v>
      </c>
      <c r="H9">
        <f>(D7+H7)/2</f>
        <v>514</v>
      </c>
    </row>
    <row r="10" spans="1:8" ht="12.75">
      <c r="A10" t="s">
        <v>104</v>
      </c>
      <c r="F10">
        <f>(E7+F7)/2</f>
        <v>669</v>
      </c>
      <c r="G10" s="60">
        <f>(F7+G7)/2</f>
        <v>676.5</v>
      </c>
      <c r="H10" s="60">
        <f>(G7+H7)/2</f>
        <v>676</v>
      </c>
    </row>
    <row r="12" spans="1:8" ht="12.75">
      <c r="A12" t="s">
        <v>6</v>
      </c>
      <c r="F12">
        <v>39</v>
      </c>
      <c r="G12">
        <v>71</v>
      </c>
      <c r="H12">
        <v>97</v>
      </c>
    </row>
    <row r="14" spans="1:8" ht="12.75">
      <c r="A14" t="s">
        <v>106</v>
      </c>
      <c r="F14" s="58">
        <f>$F$12*2/F9</f>
        <v>0.16182572614107885</v>
      </c>
      <c r="G14" s="58">
        <f>G12/G9/0.75</f>
        <v>0.1920216362407032</v>
      </c>
      <c r="H14" s="58">
        <f>H12/H9/1</f>
        <v>0.188715953307393</v>
      </c>
    </row>
    <row r="15" spans="1:8" ht="12.75">
      <c r="A15" t="s">
        <v>107</v>
      </c>
      <c r="F15" s="58">
        <f>$F$12*2/F10</f>
        <v>0.11659192825112108</v>
      </c>
      <c r="G15" s="58">
        <f>G12/G10/0.75</f>
        <v>0.1399359448139936</v>
      </c>
      <c r="H15" s="58">
        <f>H12/H10/1</f>
        <v>0.14349112426035504</v>
      </c>
    </row>
    <row r="18" spans="1:8" ht="12.75">
      <c r="A18" t="s">
        <v>16</v>
      </c>
      <c r="H18">
        <v>258</v>
      </c>
    </row>
    <row r="19" spans="1:8" ht="12.75">
      <c r="A19" t="s">
        <v>129</v>
      </c>
      <c r="H19">
        <v>61</v>
      </c>
    </row>
    <row r="20" spans="1:8" ht="12.75">
      <c r="A20" t="s">
        <v>130</v>
      </c>
      <c r="H20" s="58">
        <f>H19/H18</f>
        <v>0.2364341085271318</v>
      </c>
    </row>
    <row r="21" spans="1:8" ht="12.75">
      <c r="A21" t="s">
        <v>132</v>
      </c>
      <c r="H21">
        <v>10</v>
      </c>
    </row>
    <row r="22" spans="1:8" ht="12.75">
      <c r="A22" t="s">
        <v>131</v>
      </c>
      <c r="H22" s="58">
        <f>H21/H18*4</f>
        <v>0.15503875968992248</v>
      </c>
    </row>
    <row r="24" spans="1:8" ht="12.75">
      <c r="A24" t="s">
        <v>133</v>
      </c>
      <c r="H24" s="58">
        <f>H18/H3</f>
        <v>0.29621125143513205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Q142"/>
  <sheetViews>
    <sheetView workbookViewId="0" topLeftCell="A1">
      <selection activeCell="A88" sqref="A1:IV16384"/>
    </sheetView>
  </sheetViews>
  <sheetFormatPr defaultColWidth="9.140625" defaultRowHeight="12.75"/>
  <cols>
    <col min="1" max="2" width="9.140625" style="2" customWidth="1"/>
    <col min="3" max="3" width="13.140625" style="2" customWidth="1"/>
    <col min="4" max="4" width="9.140625" style="2" customWidth="1"/>
    <col min="5" max="5" width="8.8515625" style="2" customWidth="1"/>
    <col min="6" max="6" width="8.421875" style="2" customWidth="1"/>
    <col min="7" max="7" width="8.8515625" style="2" customWidth="1"/>
    <col min="8" max="8" width="9.00390625" style="2" customWidth="1"/>
    <col min="9" max="9" width="8.28125" style="2" customWidth="1"/>
    <col min="10" max="10" width="9.140625" style="2" customWidth="1"/>
    <col min="11" max="11" width="9.28125" style="2" customWidth="1"/>
    <col min="12" max="16384" width="9.140625" style="2" customWidth="1"/>
  </cols>
  <sheetData>
    <row r="3" spans="1:10" ht="18.75">
      <c r="A3" s="34" t="s">
        <v>113</v>
      </c>
      <c r="E3" s="3"/>
      <c r="F3" s="3"/>
      <c r="G3" s="3"/>
      <c r="H3" s="3"/>
      <c r="I3" s="3"/>
      <c r="J3" s="3"/>
    </row>
    <row r="5" spans="1:11" ht="13.5">
      <c r="A5" s="4" t="s">
        <v>41</v>
      </c>
      <c r="B5" s="5"/>
      <c r="C5" s="5"/>
      <c r="D5" s="5"/>
      <c r="E5" s="5" t="s">
        <v>0</v>
      </c>
      <c r="F5" s="5"/>
      <c r="G5" s="5"/>
      <c r="H5" s="5"/>
      <c r="I5" s="5"/>
      <c r="J5"/>
      <c r="K5"/>
    </row>
    <row r="6" spans="4:12" ht="12.75">
      <c r="D6" s="61" t="s">
        <v>114</v>
      </c>
      <c r="E6" s="61"/>
      <c r="F6" s="61" t="s">
        <v>115</v>
      </c>
      <c r="G6" s="61"/>
      <c r="H6" s="7" t="s">
        <v>54</v>
      </c>
      <c r="I6" s="6">
        <v>1999</v>
      </c>
      <c r="K6"/>
      <c r="L6"/>
    </row>
    <row r="7" spans="1:12" ht="12.75">
      <c r="A7" s="8"/>
      <c r="B7" s="5"/>
      <c r="C7" s="5"/>
      <c r="D7" s="9">
        <v>2000</v>
      </c>
      <c r="E7" s="9">
        <v>1999</v>
      </c>
      <c r="F7" s="9">
        <v>2000</v>
      </c>
      <c r="G7" s="9">
        <v>1999</v>
      </c>
      <c r="H7" s="10" t="s">
        <v>24</v>
      </c>
      <c r="I7" s="9" t="s">
        <v>53</v>
      </c>
      <c r="K7"/>
      <c r="L7"/>
    </row>
    <row r="8" spans="4:12" ht="12.75">
      <c r="D8" s="3"/>
      <c r="E8" s="3"/>
      <c r="F8" s="3"/>
      <c r="G8" s="3"/>
      <c r="H8" s="11"/>
      <c r="I8" s="3"/>
      <c r="K8"/>
      <c r="L8"/>
    </row>
    <row r="9" spans="1:17" ht="12.75">
      <c r="A9" s="2" t="s">
        <v>1</v>
      </c>
      <c r="D9" s="39">
        <v>864</v>
      </c>
      <c r="E9" s="39">
        <v>668</v>
      </c>
      <c r="F9" s="39">
        <f>D9-563</f>
        <v>301</v>
      </c>
      <c r="G9" s="39">
        <f>E9-422</f>
        <v>246</v>
      </c>
      <c r="H9" s="39">
        <f aca="true" t="shared" si="0" ref="H9:H14">I9-E9+D9</f>
        <v>1104</v>
      </c>
      <c r="I9" s="39">
        <v>908</v>
      </c>
      <c r="K9"/>
      <c r="L9"/>
      <c r="P9" s="12"/>
      <c r="Q9" s="12"/>
    </row>
    <row r="10" spans="1:17" ht="12.75">
      <c r="A10" s="2" t="s">
        <v>80</v>
      </c>
      <c r="D10" s="53">
        <v>-601</v>
      </c>
      <c r="E10" s="53">
        <v>-460</v>
      </c>
      <c r="F10" s="53">
        <f>D10+392</f>
        <v>-209</v>
      </c>
      <c r="G10" s="53">
        <f>E10+291</f>
        <v>-169</v>
      </c>
      <c r="H10" s="53">
        <f t="shared" si="0"/>
        <v>-762</v>
      </c>
      <c r="I10" s="53">
        <v>-621</v>
      </c>
      <c r="K10"/>
      <c r="L10"/>
      <c r="P10" s="12"/>
      <c r="Q10" s="12"/>
    </row>
    <row r="11" spans="1:17" s="3" customFormat="1" ht="12.75">
      <c r="A11" s="3" t="s">
        <v>2</v>
      </c>
      <c r="D11" s="39">
        <f>D9+D10</f>
        <v>263</v>
      </c>
      <c r="E11" s="39">
        <f>E9+E10</f>
        <v>208</v>
      </c>
      <c r="F11" s="39">
        <f>F9+F10</f>
        <v>92</v>
      </c>
      <c r="G11" s="39">
        <f>G9+G10</f>
        <v>77</v>
      </c>
      <c r="H11" s="39">
        <f t="shared" si="0"/>
        <v>342</v>
      </c>
      <c r="I11" s="39">
        <f>I9+I10</f>
        <v>287</v>
      </c>
      <c r="K11" s="1"/>
      <c r="L11" s="1"/>
      <c r="P11" s="50"/>
      <c r="Q11" s="50"/>
    </row>
    <row r="12" spans="1:17" s="3" customFormat="1" ht="12.75">
      <c r="A12" s="2" t="s">
        <v>3</v>
      </c>
      <c r="D12" s="39">
        <v>-140</v>
      </c>
      <c r="E12" s="39">
        <v>-112</v>
      </c>
      <c r="F12" s="39">
        <f>D12+96</f>
        <v>-44</v>
      </c>
      <c r="G12" s="39">
        <f>E12+73</f>
        <v>-39</v>
      </c>
      <c r="H12" s="39">
        <f t="shared" si="0"/>
        <v>-183</v>
      </c>
      <c r="I12" s="39">
        <v>-155</v>
      </c>
      <c r="K12" s="1"/>
      <c r="L12" s="1"/>
      <c r="P12" s="50"/>
      <c r="Q12" s="50"/>
    </row>
    <row r="13" spans="1:17" s="3" customFormat="1" ht="12.75">
      <c r="A13" s="2" t="s">
        <v>4</v>
      </c>
      <c r="D13" s="39">
        <v>-34</v>
      </c>
      <c r="E13" s="39">
        <v>-29</v>
      </c>
      <c r="F13" s="39">
        <f>D13+24</f>
        <v>-10</v>
      </c>
      <c r="G13" s="39">
        <f>E13+19</f>
        <v>-10</v>
      </c>
      <c r="H13" s="39">
        <f t="shared" si="0"/>
        <v>-45</v>
      </c>
      <c r="I13" s="39">
        <v>-40</v>
      </c>
      <c r="K13" s="1"/>
      <c r="L13" s="1"/>
      <c r="P13" s="50"/>
      <c r="Q13" s="50"/>
    </row>
    <row r="14" spans="1:17" s="3" customFormat="1" ht="12.75">
      <c r="A14" s="2" t="s">
        <v>5</v>
      </c>
      <c r="D14" s="53">
        <v>3</v>
      </c>
      <c r="E14" s="53">
        <v>3</v>
      </c>
      <c r="F14" s="53">
        <f>D14-2</f>
        <v>1</v>
      </c>
      <c r="G14" s="53">
        <f>E14-2</f>
        <v>1</v>
      </c>
      <c r="H14" s="53">
        <f t="shared" si="0"/>
        <v>5</v>
      </c>
      <c r="I14" s="53">
        <v>5</v>
      </c>
      <c r="K14" s="1"/>
      <c r="L14" s="1"/>
      <c r="P14" s="50"/>
      <c r="Q14" s="50"/>
    </row>
    <row r="15" spans="1:17" s="3" customFormat="1" ht="12.75">
      <c r="A15" s="3" t="s">
        <v>82</v>
      </c>
      <c r="D15" s="49"/>
      <c r="E15" s="49"/>
      <c r="F15" s="49"/>
      <c r="G15" s="49"/>
      <c r="H15" s="39"/>
      <c r="I15" s="49"/>
      <c r="K15" s="1"/>
      <c r="L15" s="1"/>
      <c r="P15" s="50"/>
      <c r="Q15" s="50"/>
    </row>
    <row r="16" spans="1:17" s="3" customFormat="1" ht="12.75">
      <c r="A16" s="3" t="s">
        <v>81</v>
      </c>
      <c r="D16" s="39">
        <f>D11+D12+D13+D14</f>
        <v>92</v>
      </c>
      <c r="E16" s="39">
        <f>E11+E12+E13+E14</f>
        <v>70</v>
      </c>
      <c r="F16" s="39">
        <f>F11+F12+F13+F14</f>
        <v>39</v>
      </c>
      <c r="G16" s="39">
        <f>G11+G12+G13+G14</f>
        <v>29</v>
      </c>
      <c r="H16" s="39">
        <f aca="true" t="shared" si="1" ref="H16:H23">I16-E16+D16</f>
        <v>119</v>
      </c>
      <c r="I16" s="39">
        <f>I11+I12+I13+I14</f>
        <v>97</v>
      </c>
      <c r="K16" s="1"/>
      <c r="L16" s="1"/>
      <c r="P16" s="50"/>
      <c r="Q16" s="50"/>
    </row>
    <row r="17" spans="1:17" ht="12.75">
      <c r="A17" s="2" t="s">
        <v>83</v>
      </c>
      <c r="D17" s="53">
        <v>-21</v>
      </c>
      <c r="E17" s="53">
        <v>-16</v>
      </c>
      <c r="F17" s="53">
        <f>D17+14</f>
        <v>-7</v>
      </c>
      <c r="G17" s="53">
        <f>E17+10</f>
        <v>-6</v>
      </c>
      <c r="H17" s="53">
        <f t="shared" si="1"/>
        <v>-26</v>
      </c>
      <c r="I17" s="53">
        <v>-21</v>
      </c>
      <c r="K17"/>
      <c r="L17"/>
      <c r="P17" s="12"/>
      <c r="Q17" s="12"/>
    </row>
    <row r="18" spans="1:17" s="3" customFormat="1" ht="12.75">
      <c r="A18" s="3" t="s">
        <v>6</v>
      </c>
      <c r="D18" s="39">
        <f>D16+D17</f>
        <v>71</v>
      </c>
      <c r="E18" s="39">
        <f>E16+E17</f>
        <v>54</v>
      </c>
      <c r="F18" s="39">
        <f>F16+F17</f>
        <v>32</v>
      </c>
      <c r="G18" s="39">
        <f>G16+G17</f>
        <v>23</v>
      </c>
      <c r="H18" s="39">
        <f t="shared" si="1"/>
        <v>93</v>
      </c>
      <c r="I18" s="39">
        <f>I16+I17</f>
        <v>76</v>
      </c>
      <c r="K18" s="1"/>
      <c r="L18" s="1"/>
      <c r="P18" s="50"/>
      <c r="Q18" s="50"/>
    </row>
    <row r="19" spans="1:17" s="3" customFormat="1" ht="12.75">
      <c r="A19" s="2" t="s">
        <v>120</v>
      </c>
      <c r="D19" s="39">
        <v>16</v>
      </c>
      <c r="E19" s="39"/>
      <c r="F19" s="39">
        <v>16</v>
      </c>
      <c r="G19" s="39"/>
      <c r="H19" s="39">
        <f t="shared" si="1"/>
        <v>16</v>
      </c>
      <c r="I19" s="39"/>
      <c r="K19" s="1"/>
      <c r="L19" s="1"/>
      <c r="P19" s="50"/>
      <c r="Q19" s="50"/>
    </row>
    <row r="20" spans="1:17" ht="12.75">
      <c r="A20" s="2" t="s">
        <v>7</v>
      </c>
      <c r="D20" s="53">
        <v>-15</v>
      </c>
      <c r="E20" s="53">
        <v>-2</v>
      </c>
      <c r="F20" s="53">
        <f>D20+10</f>
        <v>-5</v>
      </c>
      <c r="G20" s="53">
        <f>E20+2</f>
        <v>0</v>
      </c>
      <c r="H20" s="53">
        <f t="shared" si="1"/>
        <v>-16</v>
      </c>
      <c r="I20" s="53">
        <v>-3</v>
      </c>
      <c r="K20"/>
      <c r="L20"/>
      <c r="P20" s="12"/>
      <c r="Q20" s="12"/>
    </row>
    <row r="21" spans="1:17" s="3" customFormat="1" ht="12.75">
      <c r="A21" s="3" t="s">
        <v>8</v>
      </c>
      <c r="D21" s="39">
        <f>D18+D20+D19</f>
        <v>72</v>
      </c>
      <c r="E21" s="39">
        <f>E18+E20</f>
        <v>52</v>
      </c>
      <c r="F21" s="39">
        <f>F18+F20+F19</f>
        <v>43</v>
      </c>
      <c r="G21" s="39">
        <f>G18+G20</f>
        <v>23</v>
      </c>
      <c r="H21" s="39">
        <f t="shared" si="1"/>
        <v>93</v>
      </c>
      <c r="I21" s="39">
        <f>I18+I20</f>
        <v>73</v>
      </c>
      <c r="K21" s="1"/>
      <c r="L21" s="1"/>
      <c r="P21" s="50"/>
      <c r="Q21" s="50"/>
    </row>
    <row r="22" spans="1:17" ht="12.75">
      <c r="A22" s="2" t="s">
        <v>9</v>
      </c>
      <c r="D22" s="53">
        <v>-21</v>
      </c>
      <c r="E22" s="53">
        <v>-15</v>
      </c>
      <c r="F22" s="53">
        <f>D22+9</f>
        <v>-12</v>
      </c>
      <c r="G22" s="53">
        <f>E22+9</f>
        <v>-6</v>
      </c>
      <c r="H22" s="53">
        <f t="shared" si="1"/>
        <v>-29</v>
      </c>
      <c r="I22" s="53">
        <v>-23</v>
      </c>
      <c r="K22"/>
      <c r="L22"/>
      <c r="P22" s="12"/>
      <c r="Q22" s="12"/>
    </row>
    <row r="23" spans="1:17" s="3" customFormat="1" ht="12.75">
      <c r="A23" s="4" t="s">
        <v>10</v>
      </c>
      <c r="B23" s="4"/>
      <c r="C23" s="4"/>
      <c r="D23" s="53">
        <f>D21+D22</f>
        <v>51</v>
      </c>
      <c r="E23" s="53">
        <f>E21+E22</f>
        <v>37</v>
      </c>
      <c r="F23" s="53">
        <f>F21+F22</f>
        <v>31</v>
      </c>
      <c r="G23" s="53">
        <f>G21+G22</f>
        <v>17</v>
      </c>
      <c r="H23" s="53">
        <f t="shared" si="1"/>
        <v>64</v>
      </c>
      <c r="I23" s="53">
        <f>I21+I22</f>
        <v>50</v>
      </c>
      <c r="K23" s="1"/>
      <c r="L23" s="1"/>
      <c r="P23" s="50"/>
      <c r="Q23" s="50"/>
    </row>
    <row r="24" spans="10:12" ht="12.75">
      <c r="J24"/>
      <c r="K24"/>
      <c r="L24"/>
    </row>
    <row r="25" spans="10:11" ht="12.75">
      <c r="J25"/>
      <c r="K25"/>
    </row>
    <row r="26" spans="1:8" ht="13.5">
      <c r="A26" s="4" t="s">
        <v>42</v>
      </c>
      <c r="B26" s="5"/>
      <c r="C26" s="5"/>
      <c r="D26" s="5"/>
      <c r="E26" s="5"/>
      <c r="F26" s="28"/>
      <c r="G26" s="28"/>
      <c r="H26" s="28"/>
    </row>
    <row r="27" spans="1:8" ht="12.75">
      <c r="A27" s="13"/>
      <c r="B27" s="14"/>
      <c r="C27" s="14"/>
      <c r="D27" s="15" t="s">
        <v>116</v>
      </c>
      <c r="E27" s="15" t="s">
        <v>63</v>
      </c>
      <c r="F27" s="15" t="s">
        <v>117</v>
      </c>
      <c r="H27" s="44"/>
    </row>
    <row r="28" spans="1:6" ht="12.75">
      <c r="A28" s="3" t="s">
        <v>84</v>
      </c>
      <c r="F28" s="3"/>
    </row>
    <row r="29" spans="1:8" ht="12.75">
      <c r="A29" s="2" t="s">
        <v>11</v>
      </c>
      <c r="D29" s="35">
        <v>284</v>
      </c>
      <c r="E29" s="35">
        <v>296</v>
      </c>
      <c r="F29" s="35">
        <v>85</v>
      </c>
      <c r="H29" s="35"/>
    </row>
    <row r="30" spans="1:8" ht="12.75">
      <c r="A30" s="2" t="s">
        <v>12</v>
      </c>
      <c r="D30" s="36">
        <v>381</v>
      </c>
      <c r="E30" s="36">
        <v>393</v>
      </c>
      <c r="F30" s="36">
        <v>235</v>
      </c>
      <c r="H30" s="35"/>
    </row>
    <row r="31" spans="1:8" s="3" customFormat="1" ht="12.75">
      <c r="A31" s="3" t="s">
        <v>74</v>
      </c>
      <c r="D31" s="48">
        <f>SUM(D29:D30)</f>
        <v>665</v>
      </c>
      <c r="E31" s="48">
        <f>SUM(E29:E30)</f>
        <v>689</v>
      </c>
      <c r="F31" s="48">
        <f>SUM(F29:F30)</f>
        <v>320</v>
      </c>
      <c r="H31" s="48"/>
    </row>
    <row r="32" spans="4:8" ht="12.75">
      <c r="D32" s="35" t="s">
        <v>0</v>
      </c>
      <c r="E32" s="35" t="s">
        <v>0</v>
      </c>
      <c r="F32" s="35"/>
      <c r="H32" s="35"/>
    </row>
    <row r="33" spans="1:8" ht="12.75">
      <c r="A33" s="2" t="s">
        <v>13</v>
      </c>
      <c r="D33" s="35">
        <v>68</v>
      </c>
      <c r="E33" s="35">
        <v>67</v>
      </c>
      <c r="F33" s="35">
        <v>44</v>
      </c>
      <c r="H33" s="35"/>
    </row>
    <row r="34" spans="1:8" ht="12.75">
      <c r="A34" s="2" t="s">
        <v>14</v>
      </c>
      <c r="D34" s="35">
        <v>165</v>
      </c>
      <c r="E34" s="35">
        <v>115</v>
      </c>
      <c r="F34" s="35">
        <v>85</v>
      </c>
      <c r="H34" s="35"/>
    </row>
    <row r="35" spans="1:8" ht="12.75">
      <c r="A35" s="2" t="s">
        <v>15</v>
      </c>
      <c r="D35" s="36">
        <v>13</v>
      </c>
      <c r="E35" s="36">
        <v>46</v>
      </c>
      <c r="F35" s="36">
        <v>22</v>
      </c>
      <c r="H35" s="38"/>
    </row>
    <row r="36" spans="1:8" ht="12.75">
      <c r="A36" s="3" t="s">
        <v>75</v>
      </c>
      <c r="B36" s="3"/>
      <c r="C36" s="3"/>
      <c r="D36" s="51">
        <f>SUM(D33:D35)</f>
        <v>246</v>
      </c>
      <c r="E36" s="51">
        <f>SUM(E33:E35)</f>
        <v>228</v>
      </c>
      <c r="F36" s="51">
        <f>SUM(F33:F35)</f>
        <v>151</v>
      </c>
      <c r="H36" s="38"/>
    </row>
    <row r="37" spans="1:8" ht="12.75">
      <c r="A37" s="3" t="s">
        <v>76</v>
      </c>
      <c r="B37" s="3"/>
      <c r="C37" s="3"/>
      <c r="D37" s="48">
        <f>+D36+D31</f>
        <v>911</v>
      </c>
      <c r="E37" s="48">
        <f>+E36+E31</f>
        <v>917</v>
      </c>
      <c r="F37" s="48">
        <f>+F36+F31</f>
        <v>471</v>
      </c>
      <c r="H37" s="35"/>
    </row>
    <row r="38" spans="1:8" ht="12.75">
      <c r="A38" s="3"/>
      <c r="B38" s="3"/>
      <c r="C38" s="3"/>
      <c r="D38" s="48"/>
      <c r="E38" s="48"/>
      <c r="F38" s="48"/>
      <c r="H38" s="35"/>
    </row>
    <row r="39" spans="1:8" ht="12.75">
      <c r="A39" s="3" t="s">
        <v>85</v>
      </c>
      <c r="D39" s="35"/>
      <c r="E39" s="35"/>
      <c r="F39" s="35"/>
      <c r="H39" s="35"/>
    </row>
    <row r="40" spans="1:8" ht="12.75">
      <c r="A40" s="2" t="s">
        <v>16</v>
      </c>
      <c r="D40" s="35">
        <v>244</v>
      </c>
      <c r="E40" s="35">
        <v>232</v>
      </c>
      <c r="F40" s="35">
        <v>220</v>
      </c>
      <c r="H40" s="35"/>
    </row>
    <row r="41" spans="1:8" ht="12.75">
      <c r="A41" s="2" t="s">
        <v>17</v>
      </c>
      <c r="D41" s="35">
        <v>73</v>
      </c>
      <c r="E41" s="35">
        <v>71</v>
      </c>
      <c r="F41" s="35">
        <v>46</v>
      </c>
      <c r="H41" s="35"/>
    </row>
    <row r="42" spans="1:8" ht="12.75">
      <c r="A42" s="2" t="s">
        <v>111</v>
      </c>
      <c r="D42" s="35">
        <v>451</v>
      </c>
      <c r="E42" s="35">
        <v>172</v>
      </c>
      <c r="F42" s="35">
        <v>106</v>
      </c>
      <c r="H42" s="35"/>
    </row>
    <row r="43" spans="1:8" ht="12.75">
      <c r="A43" s="2" t="s">
        <v>47</v>
      </c>
      <c r="D43" s="36">
        <v>143</v>
      </c>
      <c r="E43" s="36">
        <v>442</v>
      </c>
      <c r="F43" s="36">
        <v>99</v>
      </c>
      <c r="H43" s="38"/>
    </row>
    <row r="44" spans="1:8" ht="12.75">
      <c r="A44" s="3" t="s">
        <v>112</v>
      </c>
      <c r="B44" s="3"/>
      <c r="C44" s="3"/>
      <c r="D44" s="35"/>
      <c r="E44" s="35"/>
      <c r="F44" s="35"/>
      <c r="H44" s="35"/>
    </row>
    <row r="45" spans="1:8" ht="12.75">
      <c r="A45" s="4" t="s">
        <v>77</v>
      </c>
      <c r="B45" s="4"/>
      <c r="C45" s="4"/>
      <c r="D45" s="52">
        <f>SUM(D40:D44)</f>
        <v>911</v>
      </c>
      <c r="E45" s="52">
        <f>SUM(E40:E44)</f>
        <v>917</v>
      </c>
      <c r="F45" s="52">
        <f>SUM(F40:F44)</f>
        <v>471</v>
      </c>
      <c r="H45" s="38"/>
    </row>
    <row r="48" spans="1:10" ht="13.5">
      <c r="A48" s="4" t="s">
        <v>109</v>
      </c>
      <c r="B48" s="5"/>
      <c r="C48" s="5"/>
      <c r="D48" s="5"/>
      <c r="E48" s="5"/>
      <c r="F48" s="5"/>
      <c r="G48" s="5"/>
      <c r="H48" s="5"/>
      <c r="I48"/>
      <c r="J48"/>
    </row>
    <row r="49" spans="1:10" ht="12.75">
      <c r="A49" s="46"/>
      <c r="B49" s="28"/>
      <c r="C49" s="61" t="s">
        <v>114</v>
      </c>
      <c r="D49" s="61"/>
      <c r="E49" s="61" t="s">
        <v>115</v>
      </c>
      <c r="F49" s="61"/>
      <c r="G49" s="45" t="s">
        <v>54</v>
      </c>
      <c r="H49" s="45">
        <v>1999</v>
      </c>
      <c r="J49"/>
    </row>
    <row r="50" spans="1:10" ht="12.75">
      <c r="A50" s="4" t="s">
        <v>18</v>
      </c>
      <c r="B50" s="5"/>
      <c r="C50" s="9">
        <v>2000</v>
      </c>
      <c r="D50" s="9">
        <v>1999</v>
      </c>
      <c r="E50" s="9">
        <v>2000</v>
      </c>
      <c r="F50" s="9">
        <v>1999</v>
      </c>
      <c r="G50" s="9" t="s">
        <v>24</v>
      </c>
      <c r="H50" s="9" t="s">
        <v>53</v>
      </c>
      <c r="J50"/>
    </row>
    <row r="51" spans="3:10" ht="12.75">
      <c r="C51" s="3"/>
      <c r="D51" s="3"/>
      <c r="E51" s="3"/>
      <c r="F51" s="3"/>
      <c r="G51" s="3"/>
      <c r="H51" s="3"/>
      <c r="J51"/>
    </row>
    <row r="52" spans="1:10" ht="12.75">
      <c r="A52" s="2" t="s">
        <v>19</v>
      </c>
      <c r="C52" s="35">
        <v>297</v>
      </c>
      <c r="D52" s="35">
        <v>287</v>
      </c>
      <c r="E52" s="35">
        <f>C52-196</f>
        <v>101</v>
      </c>
      <c r="F52" s="35">
        <v>101</v>
      </c>
      <c r="G52" s="35">
        <f aca="true" t="shared" si="2" ref="G52:G57">H52-D52+C52</f>
        <v>411</v>
      </c>
      <c r="H52" s="35">
        <v>401</v>
      </c>
      <c r="J52"/>
    </row>
    <row r="53" spans="1:10" ht="12.75">
      <c r="A53" s="2" t="s">
        <v>20</v>
      </c>
      <c r="C53" s="35">
        <v>301</v>
      </c>
      <c r="D53" s="35">
        <v>282</v>
      </c>
      <c r="E53" s="35">
        <f>C53-197</f>
        <v>104</v>
      </c>
      <c r="F53" s="35">
        <v>110</v>
      </c>
      <c r="G53" s="35">
        <f t="shared" si="2"/>
        <v>413</v>
      </c>
      <c r="H53" s="35">
        <v>394</v>
      </c>
      <c r="J53"/>
    </row>
    <row r="54" spans="1:10" ht="12.75">
      <c r="A54" s="2" t="s">
        <v>39</v>
      </c>
      <c r="C54" s="35">
        <v>113</v>
      </c>
      <c r="D54" s="35">
        <v>118</v>
      </c>
      <c r="E54" s="35">
        <f>C54-74</f>
        <v>39</v>
      </c>
      <c r="F54" s="35">
        <v>41</v>
      </c>
      <c r="G54" s="35">
        <f t="shared" si="2"/>
        <v>153</v>
      </c>
      <c r="H54" s="35">
        <v>158</v>
      </c>
      <c r="J54"/>
    </row>
    <row r="55" spans="1:10" ht="12.75">
      <c r="A55" s="2" t="s">
        <v>64</v>
      </c>
      <c r="C55" s="35">
        <v>183</v>
      </c>
      <c r="D55" s="35">
        <v>0</v>
      </c>
      <c r="E55" s="35">
        <f>C55-117</f>
        <v>66</v>
      </c>
      <c r="F55" s="35">
        <v>0</v>
      </c>
      <c r="G55" s="35">
        <f t="shared" si="2"/>
        <v>183</v>
      </c>
      <c r="H55" s="35">
        <v>0</v>
      </c>
      <c r="J55"/>
    </row>
    <row r="56" spans="1:10" ht="12.75">
      <c r="A56" s="2" t="s">
        <v>21</v>
      </c>
      <c r="C56" s="36">
        <v>-30</v>
      </c>
      <c r="D56" s="36">
        <v>-19</v>
      </c>
      <c r="E56" s="36">
        <f>C56+21</f>
        <v>-9</v>
      </c>
      <c r="F56" s="36">
        <v>-6</v>
      </c>
      <c r="G56" s="36">
        <f t="shared" si="2"/>
        <v>-56</v>
      </c>
      <c r="H56" s="36">
        <v>-45</v>
      </c>
      <c r="J56"/>
    </row>
    <row r="57" spans="1:10" ht="12.75">
      <c r="A57" s="4" t="s">
        <v>22</v>
      </c>
      <c r="B57" s="5"/>
      <c r="C57" s="52">
        <f>SUM(C52:C56)</f>
        <v>864</v>
      </c>
      <c r="D57" s="52">
        <f>SUM(D52:D56)</f>
        <v>668</v>
      </c>
      <c r="E57" s="52">
        <f>SUM(E52:E56)</f>
        <v>301</v>
      </c>
      <c r="F57" s="52">
        <f>SUM(F52:F56)</f>
        <v>246</v>
      </c>
      <c r="G57" s="52">
        <f t="shared" si="2"/>
        <v>1104</v>
      </c>
      <c r="H57" s="52">
        <f>SUM(H52:H56)</f>
        <v>908</v>
      </c>
      <c r="J57"/>
    </row>
    <row r="58" spans="3:10" ht="12.75" hidden="1">
      <c r="C58" s="16">
        <f>+C57-I9</f>
        <v>-44</v>
      </c>
      <c r="D58" s="16">
        <f>+D57-F9</f>
        <v>367</v>
      </c>
      <c r="E58" s="16" t="e">
        <f>+E57-#REF!</f>
        <v>#REF!</v>
      </c>
      <c r="F58" s="16">
        <f>+F57-H9</f>
        <v>-858</v>
      </c>
      <c r="G58" s="16"/>
      <c r="H58" s="16"/>
      <c r="J58"/>
    </row>
    <row r="59" spans="3:10" ht="12.75">
      <c r="C59" s="16"/>
      <c r="D59" s="16"/>
      <c r="E59" s="16"/>
      <c r="F59" s="16"/>
      <c r="G59" s="16"/>
      <c r="H59" s="16"/>
      <c r="J59"/>
    </row>
    <row r="60" spans="1:10" ht="12.75">
      <c r="A60" s="5"/>
      <c r="C60" s="5"/>
      <c r="D60" s="5"/>
      <c r="E60" s="5"/>
      <c r="F60" s="5"/>
      <c r="J60"/>
    </row>
    <row r="61" spans="1:10" ht="12.75">
      <c r="A61" s="3" t="s">
        <v>86</v>
      </c>
      <c r="B61" s="17"/>
      <c r="C61" s="61" t="s">
        <v>114</v>
      </c>
      <c r="D61" s="61"/>
      <c r="E61" s="61" t="s">
        <v>118</v>
      </c>
      <c r="F61" s="61"/>
      <c r="G61" s="18" t="s">
        <v>56</v>
      </c>
      <c r="H61" s="18">
        <v>1999</v>
      </c>
      <c r="J61"/>
    </row>
    <row r="62" spans="1:10" ht="12.75">
      <c r="A62" s="4" t="s">
        <v>81</v>
      </c>
      <c r="B62" s="5"/>
      <c r="C62" s="59">
        <v>2000</v>
      </c>
      <c r="D62" s="59">
        <v>1999</v>
      </c>
      <c r="E62" s="59">
        <v>2000</v>
      </c>
      <c r="F62" s="59">
        <v>1999</v>
      </c>
      <c r="G62" s="9" t="s">
        <v>24</v>
      </c>
      <c r="H62" s="9" t="s">
        <v>53</v>
      </c>
      <c r="J62"/>
    </row>
    <row r="63" spans="1:10" ht="12.75">
      <c r="A63" s="2" t="s">
        <v>19</v>
      </c>
      <c r="C63" s="35">
        <v>50</v>
      </c>
      <c r="D63" s="35">
        <v>48</v>
      </c>
      <c r="E63" s="35">
        <f>C63-30</f>
        <v>20</v>
      </c>
      <c r="F63" s="35">
        <f>D63-28</f>
        <v>20</v>
      </c>
      <c r="G63" s="35">
        <f>H63-D63+C63</f>
        <v>72</v>
      </c>
      <c r="H63" s="35">
        <v>70</v>
      </c>
      <c r="J63"/>
    </row>
    <row r="64" spans="1:10" ht="12.75">
      <c r="A64" s="2" t="s">
        <v>20</v>
      </c>
      <c r="C64" s="35">
        <v>18</v>
      </c>
      <c r="D64" s="35">
        <v>23</v>
      </c>
      <c r="E64" s="35">
        <f>C64-10</f>
        <v>8</v>
      </c>
      <c r="F64" s="35">
        <f>D64-14</f>
        <v>9</v>
      </c>
      <c r="G64" s="35">
        <f>H64-D64+C64</f>
        <v>26</v>
      </c>
      <c r="H64" s="35">
        <v>31</v>
      </c>
      <c r="J64"/>
    </row>
    <row r="65" spans="1:10" ht="12.75">
      <c r="A65" s="2" t="s">
        <v>39</v>
      </c>
      <c r="C65" s="35">
        <v>8</v>
      </c>
      <c r="D65" s="35">
        <v>5</v>
      </c>
      <c r="E65" s="35">
        <f>C65-4</f>
        <v>4</v>
      </c>
      <c r="F65" s="35">
        <f>D65-3</f>
        <v>2</v>
      </c>
      <c r="G65" s="35">
        <f>H65-D65+C65</f>
        <v>9</v>
      </c>
      <c r="H65" s="35">
        <v>6</v>
      </c>
      <c r="J65"/>
    </row>
    <row r="66" spans="1:10" ht="12.75">
      <c r="A66" s="2" t="s">
        <v>64</v>
      </c>
      <c r="C66" s="35">
        <v>26</v>
      </c>
      <c r="D66" s="35">
        <v>0</v>
      </c>
      <c r="E66" s="35">
        <f>C66-16</f>
        <v>10</v>
      </c>
      <c r="F66" s="35">
        <f>D66</f>
        <v>0</v>
      </c>
      <c r="G66" s="35">
        <f>H66-D66+C66</f>
        <v>26</v>
      </c>
      <c r="H66" s="35">
        <v>0</v>
      </c>
      <c r="J66"/>
    </row>
    <row r="67" spans="1:10" ht="12.75">
      <c r="A67" s="2" t="s">
        <v>21</v>
      </c>
      <c r="C67" s="36">
        <v>-10</v>
      </c>
      <c r="D67" s="36">
        <v>-6</v>
      </c>
      <c r="E67" s="36">
        <f>C67+7</f>
        <v>-3</v>
      </c>
      <c r="F67" s="36">
        <f>D67+4</f>
        <v>-2</v>
      </c>
      <c r="G67" s="36">
        <f>H67-D67+C67</f>
        <v>-14</v>
      </c>
      <c r="H67" s="36">
        <v>-10</v>
      </c>
      <c r="J67"/>
    </row>
    <row r="68" spans="1:10" ht="12.75">
      <c r="A68" s="4" t="s">
        <v>22</v>
      </c>
      <c r="B68" s="4"/>
      <c r="C68" s="52">
        <f aca="true" t="shared" si="3" ref="C68:H68">SUM(C63:C67)</f>
        <v>92</v>
      </c>
      <c r="D68" s="52">
        <f t="shared" si="3"/>
        <v>70</v>
      </c>
      <c r="E68" s="52">
        <f t="shared" si="3"/>
        <v>39</v>
      </c>
      <c r="F68" s="52">
        <f t="shared" si="3"/>
        <v>29</v>
      </c>
      <c r="G68" s="52">
        <f t="shared" si="3"/>
        <v>119</v>
      </c>
      <c r="H68" s="52">
        <f t="shared" si="3"/>
        <v>97</v>
      </c>
      <c r="J68"/>
    </row>
    <row r="69" spans="1:10" ht="12.75">
      <c r="A69" s="46"/>
      <c r="B69" s="46"/>
      <c r="C69" s="51"/>
      <c r="D69" s="51"/>
      <c r="E69" s="51"/>
      <c r="F69" s="51"/>
      <c r="G69" s="51"/>
      <c r="H69" s="51"/>
      <c r="I69"/>
      <c r="J69"/>
    </row>
    <row r="70" spans="9:10" ht="12.75">
      <c r="I70"/>
      <c r="J70"/>
    </row>
    <row r="71" spans="1:11" ht="12.75">
      <c r="A71" s="4" t="s">
        <v>23</v>
      </c>
      <c r="D71" s="5"/>
      <c r="E71" s="5"/>
      <c r="F71" s="5"/>
      <c r="G71" s="5"/>
      <c r="J71"/>
      <c r="K71"/>
    </row>
    <row r="72" spans="1:11" ht="12.75">
      <c r="A72" s="17"/>
      <c r="B72" s="17"/>
      <c r="C72" s="17"/>
      <c r="D72" s="61" t="s">
        <v>114</v>
      </c>
      <c r="E72" s="61"/>
      <c r="F72" s="61" t="s">
        <v>118</v>
      </c>
      <c r="G72" s="61"/>
      <c r="H72" s="18" t="s">
        <v>54</v>
      </c>
      <c r="I72" s="18">
        <v>1999</v>
      </c>
      <c r="K72"/>
    </row>
    <row r="73" spans="1:11" ht="12.75">
      <c r="A73" s="5"/>
      <c r="B73" s="5"/>
      <c r="C73" s="5"/>
      <c r="D73" s="9">
        <v>2000</v>
      </c>
      <c r="E73" s="9">
        <v>1999</v>
      </c>
      <c r="F73" s="9">
        <v>2000</v>
      </c>
      <c r="G73" s="9">
        <v>1999</v>
      </c>
      <c r="H73" s="9" t="s">
        <v>24</v>
      </c>
      <c r="I73" s="9" t="s">
        <v>53</v>
      </c>
      <c r="K73"/>
    </row>
    <row r="74" ht="12.75">
      <c r="K74"/>
    </row>
    <row r="75" spans="1:11" ht="12.75">
      <c r="A75" s="2" t="s">
        <v>25</v>
      </c>
      <c r="D75" s="35">
        <f aca="true" t="shared" si="4" ref="D75:I75">D9</f>
        <v>864</v>
      </c>
      <c r="E75" s="35">
        <f t="shared" si="4"/>
        <v>668</v>
      </c>
      <c r="F75" s="35">
        <f t="shared" si="4"/>
        <v>301</v>
      </c>
      <c r="G75" s="35">
        <f t="shared" si="4"/>
        <v>246</v>
      </c>
      <c r="H75" s="35">
        <f t="shared" si="4"/>
        <v>1104</v>
      </c>
      <c r="I75" s="35">
        <f t="shared" si="4"/>
        <v>908</v>
      </c>
      <c r="K75"/>
    </row>
    <row r="76" spans="1:11" ht="12.75">
      <c r="A76" s="2" t="s">
        <v>87</v>
      </c>
      <c r="D76" s="35">
        <f aca="true" t="shared" si="5" ref="D76:I76">D16</f>
        <v>92</v>
      </c>
      <c r="E76" s="35">
        <f t="shared" si="5"/>
        <v>70</v>
      </c>
      <c r="F76" s="35">
        <f t="shared" si="5"/>
        <v>39</v>
      </c>
      <c r="G76" s="35">
        <f t="shared" si="5"/>
        <v>29</v>
      </c>
      <c r="H76" s="35">
        <f t="shared" si="5"/>
        <v>119</v>
      </c>
      <c r="I76" s="35">
        <f t="shared" si="5"/>
        <v>97</v>
      </c>
      <c r="K76"/>
    </row>
    <row r="77" spans="1:11" ht="12.75">
      <c r="A77" s="2" t="s">
        <v>88</v>
      </c>
      <c r="D77" s="37">
        <f aca="true" t="shared" si="6" ref="D77:I77">D76/D75*100</f>
        <v>10.648148148148149</v>
      </c>
      <c r="E77" s="37">
        <f t="shared" si="6"/>
        <v>10.479041916167663</v>
      </c>
      <c r="F77" s="37">
        <f t="shared" si="6"/>
        <v>12.956810631229235</v>
      </c>
      <c r="G77" s="37">
        <f t="shared" si="6"/>
        <v>11.788617886178862</v>
      </c>
      <c r="H77" s="37">
        <f t="shared" si="6"/>
        <v>10.778985507246377</v>
      </c>
      <c r="I77" s="37">
        <f t="shared" si="6"/>
        <v>10.682819383259911</v>
      </c>
      <c r="K77"/>
    </row>
    <row r="78" spans="1:11" ht="12.75">
      <c r="A78" s="2" t="s">
        <v>26</v>
      </c>
      <c r="D78" s="35">
        <f aca="true" t="shared" si="7" ref="D78:I78">D18</f>
        <v>71</v>
      </c>
      <c r="E78" s="35">
        <f t="shared" si="7"/>
        <v>54</v>
      </c>
      <c r="F78" s="35">
        <f t="shared" si="7"/>
        <v>32</v>
      </c>
      <c r="G78" s="35">
        <f t="shared" si="7"/>
        <v>23</v>
      </c>
      <c r="H78" s="35">
        <f t="shared" si="7"/>
        <v>93</v>
      </c>
      <c r="I78" s="35">
        <f t="shared" si="7"/>
        <v>76</v>
      </c>
      <c r="K78"/>
    </row>
    <row r="79" spans="1:16" ht="12.75">
      <c r="A79" s="2" t="s">
        <v>27</v>
      </c>
      <c r="D79" s="41">
        <f aca="true" t="shared" si="8" ref="D79:I79">D78/D75*100</f>
        <v>8.217592592592593</v>
      </c>
      <c r="E79" s="41">
        <f t="shared" si="8"/>
        <v>8.08383233532934</v>
      </c>
      <c r="F79" s="41">
        <f t="shared" si="8"/>
        <v>10.631229235880399</v>
      </c>
      <c r="G79" s="41">
        <f t="shared" si="8"/>
        <v>9.34959349593496</v>
      </c>
      <c r="H79" s="41">
        <f t="shared" si="8"/>
        <v>8.423913043478262</v>
      </c>
      <c r="I79" s="41">
        <f t="shared" si="8"/>
        <v>8.370044052863436</v>
      </c>
      <c r="K79"/>
      <c r="O79" s="19"/>
      <c r="P79" s="19"/>
    </row>
    <row r="80" spans="1:11" ht="12.75">
      <c r="A80" s="2" t="s">
        <v>28</v>
      </c>
      <c r="D80" s="35">
        <v>493</v>
      </c>
      <c r="E80" s="35">
        <v>289</v>
      </c>
      <c r="F80" s="35">
        <v>677</v>
      </c>
      <c r="G80" s="35">
        <v>289</v>
      </c>
      <c r="H80" s="43">
        <f>I80-E80+D80</f>
        <v>542</v>
      </c>
      <c r="I80" s="35">
        <v>338</v>
      </c>
      <c r="K80"/>
    </row>
    <row r="81" spans="1:16" ht="12.75">
      <c r="A81" s="2" t="s">
        <v>29</v>
      </c>
      <c r="D81" s="41">
        <v>19.2</v>
      </c>
      <c r="E81" s="41">
        <v>24.9</v>
      </c>
      <c r="F81" s="41">
        <v>18.9</v>
      </c>
      <c r="G81" s="41">
        <v>31.8</v>
      </c>
      <c r="H81" s="54">
        <v>17.2</v>
      </c>
      <c r="I81" s="41">
        <v>22.3</v>
      </c>
      <c r="K81"/>
      <c r="O81" s="19"/>
      <c r="P81" s="19"/>
    </row>
    <row r="82" spans="1:16" ht="12.75">
      <c r="A82" s="2" t="s">
        <v>60</v>
      </c>
      <c r="D82" s="35">
        <v>244</v>
      </c>
      <c r="E82" s="35">
        <v>220</v>
      </c>
      <c r="F82" s="35">
        <v>244</v>
      </c>
      <c r="G82" s="35">
        <v>220</v>
      </c>
      <c r="H82" s="35">
        <f>I82-E82+D82</f>
        <v>256</v>
      </c>
      <c r="I82" s="35">
        <v>232</v>
      </c>
      <c r="K82"/>
      <c r="O82" s="19"/>
      <c r="P82" s="19"/>
    </row>
    <row r="83" spans="1:16" ht="12.75">
      <c r="A83" s="2" t="s">
        <v>58</v>
      </c>
      <c r="D83" s="41">
        <v>27.9</v>
      </c>
      <c r="E83" s="41">
        <v>22.4</v>
      </c>
      <c r="F83" s="41">
        <v>50.8</v>
      </c>
      <c r="G83" s="41">
        <v>30.9</v>
      </c>
      <c r="H83" s="41">
        <v>25</v>
      </c>
      <c r="I83" s="41">
        <v>21.6</v>
      </c>
      <c r="K83"/>
      <c r="O83" s="19"/>
      <c r="P83" s="19"/>
    </row>
    <row r="84" spans="1:16" ht="12.75">
      <c r="A84" s="2" t="s">
        <v>30</v>
      </c>
      <c r="D84" s="42">
        <v>27</v>
      </c>
      <c r="E84" s="42">
        <v>47</v>
      </c>
      <c r="F84" s="42">
        <v>27</v>
      </c>
      <c r="G84" s="42">
        <v>47</v>
      </c>
      <c r="H84" s="35">
        <v>28</v>
      </c>
      <c r="I84" s="42">
        <v>25</v>
      </c>
      <c r="K84"/>
      <c r="O84" s="20"/>
      <c r="P84" s="19"/>
    </row>
    <row r="85" spans="1:16" ht="12.75">
      <c r="A85" s="2" t="s">
        <v>31</v>
      </c>
      <c r="D85" s="37">
        <v>10</v>
      </c>
      <c r="E85" s="37">
        <v>10</v>
      </c>
      <c r="F85" s="37">
        <v>10</v>
      </c>
      <c r="G85" s="37">
        <v>10</v>
      </c>
      <c r="H85" s="37">
        <v>10</v>
      </c>
      <c r="I85" s="37">
        <v>10</v>
      </c>
      <c r="K85"/>
      <c r="O85" s="20"/>
      <c r="P85" s="19"/>
    </row>
    <row r="86" spans="1:15" ht="12.75">
      <c r="A86" s="2" t="s">
        <v>59</v>
      </c>
      <c r="D86" s="40">
        <v>5.13</v>
      </c>
      <c r="E86" s="40">
        <v>3.71</v>
      </c>
      <c r="F86" s="40">
        <v>3.1</v>
      </c>
      <c r="G86" s="40">
        <v>1.7</v>
      </c>
      <c r="H86" s="40">
        <v>6.4</v>
      </c>
      <c r="I86" s="40">
        <v>5</v>
      </c>
      <c r="K86"/>
      <c r="O86" s="21"/>
    </row>
    <row r="87" spans="1:15" ht="12.75">
      <c r="A87" s="2" t="s">
        <v>52</v>
      </c>
      <c r="D87" s="35">
        <v>25</v>
      </c>
      <c r="E87" s="35">
        <v>39</v>
      </c>
      <c r="F87" s="35">
        <v>10</v>
      </c>
      <c r="G87" s="35">
        <v>14</v>
      </c>
      <c r="H87" s="35">
        <f>I87-E87+D87</f>
        <v>35</v>
      </c>
      <c r="I87" s="35">
        <v>49</v>
      </c>
      <c r="K87"/>
      <c r="O87" s="22"/>
    </row>
    <row r="88" spans="1:15" ht="12.75">
      <c r="A88" s="2" t="s">
        <v>67</v>
      </c>
      <c r="D88" s="35">
        <v>30</v>
      </c>
      <c r="E88" s="35">
        <v>21</v>
      </c>
      <c r="F88" s="35">
        <v>9</v>
      </c>
      <c r="G88" s="35">
        <v>10</v>
      </c>
      <c r="H88" s="35">
        <f>I88-E88+D88</f>
        <v>42</v>
      </c>
      <c r="I88" s="35">
        <v>33</v>
      </c>
      <c r="K88"/>
      <c r="O88" s="22"/>
    </row>
    <row r="89" spans="1:11" ht="12.75">
      <c r="A89" s="2" t="s">
        <v>66</v>
      </c>
      <c r="D89" s="35">
        <v>21</v>
      </c>
      <c r="E89" s="35">
        <v>16</v>
      </c>
      <c r="F89" s="35">
        <v>7</v>
      </c>
      <c r="G89" s="35">
        <v>8</v>
      </c>
      <c r="H89" s="35">
        <f>I89-E89+D89</f>
        <v>26</v>
      </c>
      <c r="I89" s="35">
        <v>21</v>
      </c>
      <c r="K89"/>
    </row>
    <row r="90" spans="1:11" ht="12.75">
      <c r="A90" s="5" t="s">
        <v>32</v>
      </c>
      <c r="B90" s="5"/>
      <c r="C90" s="5"/>
      <c r="D90" s="36">
        <v>629</v>
      </c>
      <c r="E90" s="36">
        <v>420</v>
      </c>
      <c r="F90" s="36">
        <v>629</v>
      </c>
      <c r="G90" s="36">
        <v>420</v>
      </c>
      <c r="H90" s="36">
        <v>629</v>
      </c>
      <c r="I90" s="36">
        <v>654</v>
      </c>
      <c r="K90"/>
    </row>
    <row r="91" spans="10:11" ht="12.75">
      <c r="J91"/>
      <c r="K91"/>
    </row>
    <row r="92" spans="10:11" ht="12.75">
      <c r="J92"/>
      <c r="K92"/>
    </row>
    <row r="93" spans="10:11" ht="12.75">
      <c r="J93"/>
      <c r="K93"/>
    </row>
    <row r="97" spans="1:8" ht="13.5">
      <c r="A97" s="3" t="s">
        <v>110</v>
      </c>
      <c r="F97" s="3"/>
      <c r="G97" s="3"/>
      <c r="H97" s="3"/>
    </row>
    <row r="98" spans="1:9" ht="12.75">
      <c r="A98" s="23"/>
      <c r="B98" s="17"/>
      <c r="C98" s="17"/>
      <c r="D98" s="17"/>
      <c r="E98" s="17"/>
      <c r="F98" s="18">
        <v>2000</v>
      </c>
      <c r="G98" s="18">
        <v>1999</v>
      </c>
      <c r="H98" s="18">
        <v>1999</v>
      </c>
      <c r="I98"/>
    </row>
    <row r="99" spans="1:9" ht="12.75">
      <c r="A99" s="5"/>
      <c r="B99" s="5"/>
      <c r="C99" s="5"/>
      <c r="D99" s="5"/>
      <c r="E99" s="5"/>
      <c r="F99" s="9" t="s">
        <v>119</v>
      </c>
      <c r="G99" s="9" t="s">
        <v>119</v>
      </c>
      <c r="H99" s="9" t="s">
        <v>55</v>
      </c>
      <c r="I99"/>
    </row>
    <row r="100" spans="1:9" ht="12.75">
      <c r="A100" s="2" t="s">
        <v>8</v>
      </c>
      <c r="F100" s="35">
        <v>72</v>
      </c>
      <c r="G100" s="35">
        <v>53</v>
      </c>
      <c r="H100" s="35">
        <v>73</v>
      </c>
      <c r="I100"/>
    </row>
    <row r="101" spans="1:9" ht="12.75">
      <c r="A101" s="2" t="s">
        <v>33</v>
      </c>
      <c r="F101" s="35">
        <v>51</v>
      </c>
      <c r="G101" s="35">
        <v>37</v>
      </c>
      <c r="H101" s="35">
        <v>54</v>
      </c>
      <c r="I101"/>
    </row>
    <row r="102" spans="1:9" ht="12.75">
      <c r="A102" s="2" t="s">
        <v>48</v>
      </c>
      <c r="F102" s="35">
        <v>-21</v>
      </c>
      <c r="G102" s="35">
        <v>-15</v>
      </c>
      <c r="H102" s="35">
        <v>-23</v>
      </c>
      <c r="I102"/>
    </row>
    <row r="103" spans="1:9" ht="12.75">
      <c r="A103" s="2" t="s">
        <v>49</v>
      </c>
      <c r="F103" s="35">
        <v>0</v>
      </c>
      <c r="G103" s="35">
        <v>-3</v>
      </c>
      <c r="H103" s="35">
        <v>-3</v>
      </c>
      <c r="I103"/>
    </row>
    <row r="104" spans="1:9" ht="12.75">
      <c r="A104" s="2" t="s">
        <v>36</v>
      </c>
      <c r="F104" s="36">
        <v>-28</v>
      </c>
      <c r="G104" s="36">
        <v>-22</v>
      </c>
      <c r="H104" s="36">
        <v>-13</v>
      </c>
      <c r="I104"/>
    </row>
    <row r="105" spans="1:9" ht="12.75">
      <c r="A105" s="3" t="s">
        <v>78</v>
      </c>
      <c r="F105" s="48">
        <f>SUM(F100:F104)</f>
        <v>74</v>
      </c>
      <c r="G105" s="48">
        <f>SUM(G100:G104)</f>
        <v>50</v>
      </c>
      <c r="H105" s="48">
        <f>SUM(H100:H104)</f>
        <v>88</v>
      </c>
      <c r="I105"/>
    </row>
    <row r="106" spans="1:9" ht="12.75">
      <c r="A106" s="2" t="s">
        <v>34</v>
      </c>
      <c r="F106" s="35">
        <v>-25</v>
      </c>
      <c r="G106" s="35">
        <v>-33</v>
      </c>
      <c r="H106" s="35">
        <v>-41</v>
      </c>
      <c r="I106"/>
    </row>
    <row r="107" spans="1:9" ht="12.75">
      <c r="A107" s="2" t="s">
        <v>35</v>
      </c>
      <c r="F107" s="35">
        <v>-214</v>
      </c>
      <c r="G107" s="35">
        <v>-24</v>
      </c>
      <c r="H107" s="35">
        <v>-23</v>
      </c>
      <c r="I107"/>
    </row>
    <row r="108" spans="1:9" ht="12.75">
      <c r="A108" s="2" t="s">
        <v>79</v>
      </c>
      <c r="F108" s="35">
        <v>-112</v>
      </c>
      <c r="G108" s="35">
        <v>-13</v>
      </c>
      <c r="H108" s="35">
        <v>-13</v>
      </c>
      <c r="I108"/>
    </row>
    <row r="109" spans="1:9" ht="12.75">
      <c r="A109" s="2" t="s">
        <v>50</v>
      </c>
      <c r="F109" s="35">
        <v>284</v>
      </c>
      <c r="G109" s="35">
        <v>13</v>
      </c>
      <c r="H109" s="35">
        <v>6</v>
      </c>
      <c r="I109"/>
    </row>
    <row r="110" spans="1:9" ht="12.75">
      <c r="A110" s="2" t="s">
        <v>37</v>
      </c>
      <c r="F110" s="36">
        <v>-40</v>
      </c>
      <c r="G110" s="36">
        <v>-37</v>
      </c>
      <c r="H110" s="36">
        <v>-37</v>
      </c>
      <c r="I110"/>
    </row>
    <row r="111" spans="1:11" ht="12.75">
      <c r="A111" s="46" t="s">
        <v>38</v>
      </c>
      <c r="B111" s="28"/>
      <c r="C111" s="28"/>
      <c r="D111" s="28"/>
      <c r="E111" s="28"/>
      <c r="F111" s="51">
        <f>F105+F106+F107+F108+F109+F110</f>
        <v>-33</v>
      </c>
      <c r="G111" s="51">
        <f>G105+G106+G107+G108+G109+G110</f>
        <v>-44</v>
      </c>
      <c r="H111" s="51">
        <f>H105+H106+H107+H108+H109+H110</f>
        <v>-20</v>
      </c>
      <c r="I111"/>
      <c r="J111" s="28"/>
      <c r="K111" s="28"/>
    </row>
    <row r="112" spans="1:11" ht="12.75">
      <c r="A112" s="2" t="s">
        <v>94</v>
      </c>
      <c r="F112" s="35">
        <v>46</v>
      </c>
      <c r="G112" s="35">
        <v>66</v>
      </c>
      <c r="H112" s="35">
        <v>66</v>
      </c>
      <c r="I112"/>
      <c r="J112" s="28"/>
      <c r="K112" s="28"/>
    </row>
    <row r="113" spans="1:9" ht="12.75">
      <c r="A113" s="4" t="s">
        <v>93</v>
      </c>
      <c r="B113" s="5"/>
      <c r="C113" s="5"/>
      <c r="D113" s="5"/>
      <c r="E113" s="5"/>
      <c r="F113" s="52">
        <f>F111+F112</f>
        <v>13</v>
      </c>
      <c r="G113" s="52">
        <f>G111+G112</f>
        <v>22</v>
      </c>
      <c r="H113" s="52">
        <f>H111+H112</f>
        <v>46</v>
      </c>
      <c r="I113"/>
    </row>
    <row r="114" ht="12.75">
      <c r="I114"/>
    </row>
    <row r="115" ht="12.75">
      <c r="A115" s="2" t="s">
        <v>51</v>
      </c>
    </row>
    <row r="117" ht="12.75">
      <c r="A117" s="2" t="s">
        <v>65</v>
      </c>
    </row>
    <row r="119" spans="1:3" ht="12.75">
      <c r="A119" s="24" t="s">
        <v>68</v>
      </c>
      <c r="C119" s="2" t="s">
        <v>69</v>
      </c>
    </row>
    <row r="120" spans="1:3" ht="12.75">
      <c r="A120" s="24" t="s">
        <v>70</v>
      </c>
      <c r="C120" s="2" t="s">
        <v>92</v>
      </c>
    </row>
    <row r="121" spans="1:3" ht="12.75">
      <c r="A121" s="24" t="s">
        <v>71</v>
      </c>
      <c r="C121" s="2" t="s">
        <v>72</v>
      </c>
    </row>
    <row r="122" ht="12.75">
      <c r="A122"/>
    </row>
    <row r="123" ht="13.5" thickBot="1"/>
    <row r="124" spans="1:9" ht="12.75">
      <c r="A124" s="47"/>
      <c r="B124" s="25"/>
      <c r="C124" s="25"/>
      <c r="D124" s="25"/>
      <c r="E124" s="25"/>
      <c r="F124" s="25"/>
      <c r="G124" s="25"/>
      <c r="H124" s="25"/>
      <c r="I124" s="26"/>
    </row>
    <row r="125" spans="1:9" ht="12.75">
      <c r="A125" s="30" t="s">
        <v>89</v>
      </c>
      <c r="B125" s="28"/>
      <c r="C125" s="28"/>
      <c r="D125" s="28"/>
      <c r="E125" s="28"/>
      <c r="F125" s="28"/>
      <c r="G125" s="28"/>
      <c r="H125" s="28"/>
      <c r="I125" s="29"/>
    </row>
    <row r="126" spans="1:9" ht="12.75">
      <c r="A126" s="27" t="s">
        <v>90</v>
      </c>
      <c r="B126" s="28"/>
      <c r="C126" s="28"/>
      <c r="D126" s="28"/>
      <c r="E126" s="28"/>
      <c r="F126" s="28"/>
      <c r="G126" s="28"/>
      <c r="H126" s="28"/>
      <c r="I126" s="29"/>
    </row>
    <row r="127" spans="1:9" ht="12.75">
      <c r="A127" s="27" t="s">
        <v>91</v>
      </c>
      <c r="B127" s="28"/>
      <c r="C127" s="28"/>
      <c r="D127" s="28"/>
      <c r="E127" s="28"/>
      <c r="F127" s="28"/>
      <c r="G127" s="28"/>
      <c r="H127" s="28"/>
      <c r="I127" s="29"/>
    </row>
    <row r="128" spans="1:11" ht="12.75">
      <c r="A128" s="30"/>
      <c r="B128" s="28"/>
      <c r="C128" s="28"/>
      <c r="D128" s="28"/>
      <c r="E128" s="28"/>
      <c r="F128" s="28"/>
      <c r="G128" s="28"/>
      <c r="H128" s="28"/>
      <c r="I128" s="29"/>
      <c r="J128" s="28"/>
      <c r="K128" s="28"/>
    </row>
    <row r="129" spans="1:11" ht="12.75">
      <c r="A129" s="30" t="s">
        <v>43</v>
      </c>
      <c r="B129" s="28"/>
      <c r="C129" s="28"/>
      <c r="D129" s="28"/>
      <c r="E129" s="28"/>
      <c r="F129" s="28"/>
      <c r="G129" s="28"/>
      <c r="H129" s="28"/>
      <c r="I129" s="29"/>
      <c r="J129" s="28"/>
      <c r="K129" s="28"/>
    </row>
    <row r="130" spans="1:11" ht="12.75">
      <c r="A130" s="27" t="s">
        <v>44</v>
      </c>
      <c r="B130" s="28"/>
      <c r="C130" s="28"/>
      <c r="D130" s="28"/>
      <c r="E130" s="28"/>
      <c r="F130" s="28"/>
      <c r="G130" s="28"/>
      <c r="H130" s="28"/>
      <c r="I130" s="29"/>
      <c r="J130" s="28"/>
      <c r="K130" s="28"/>
    </row>
    <row r="131" spans="1:11" ht="12.75">
      <c r="A131" s="27" t="s">
        <v>57</v>
      </c>
      <c r="B131" s="28"/>
      <c r="C131" s="28"/>
      <c r="D131" s="28"/>
      <c r="E131" s="28"/>
      <c r="F131" s="28"/>
      <c r="G131" s="28"/>
      <c r="H131" s="28"/>
      <c r="I131" s="29"/>
      <c r="J131" s="28"/>
      <c r="K131" s="28"/>
    </row>
    <row r="132" spans="1:11" ht="12.75">
      <c r="A132" s="27"/>
      <c r="B132" s="28"/>
      <c r="C132" s="28"/>
      <c r="D132" s="28"/>
      <c r="E132" s="28"/>
      <c r="F132" s="28"/>
      <c r="G132" s="28"/>
      <c r="H132" s="28"/>
      <c r="I132" s="29"/>
      <c r="J132" s="28"/>
      <c r="K132" s="28"/>
    </row>
    <row r="133" spans="1:11" ht="12.75">
      <c r="A133" s="30" t="s">
        <v>45</v>
      </c>
      <c r="B133" s="28"/>
      <c r="C133" s="28"/>
      <c r="D133" s="28"/>
      <c r="E133" s="28"/>
      <c r="F133" s="28"/>
      <c r="G133" s="28"/>
      <c r="H133" s="28"/>
      <c r="I133" s="29"/>
      <c r="J133" s="28"/>
      <c r="K133" s="28"/>
    </row>
    <row r="134" spans="1:11" ht="12.75">
      <c r="A134" s="27" t="s">
        <v>61</v>
      </c>
      <c r="B134" s="28"/>
      <c r="C134" s="28"/>
      <c r="D134" s="28"/>
      <c r="E134" s="28"/>
      <c r="F134" s="28"/>
      <c r="G134" s="28"/>
      <c r="H134" s="28"/>
      <c r="I134" s="29"/>
      <c r="J134" s="28"/>
      <c r="K134" s="28"/>
    </row>
    <row r="135" spans="1:11" ht="12.75">
      <c r="A135" s="30" t="s">
        <v>62</v>
      </c>
      <c r="B135" s="28"/>
      <c r="C135" s="28"/>
      <c r="D135" s="28"/>
      <c r="E135" s="28"/>
      <c r="F135" s="28"/>
      <c r="G135" s="28"/>
      <c r="H135" s="28"/>
      <c r="I135" s="29"/>
      <c r="J135" s="28"/>
      <c r="K135" s="28"/>
    </row>
    <row r="136" spans="1:11" ht="12.75">
      <c r="A136" s="27"/>
      <c r="B136" s="28"/>
      <c r="C136" s="28"/>
      <c r="D136" s="28"/>
      <c r="E136" s="28"/>
      <c r="F136" s="28"/>
      <c r="G136" s="28"/>
      <c r="H136" s="28"/>
      <c r="I136" s="29"/>
      <c r="J136" s="28"/>
      <c r="K136" s="28"/>
    </row>
    <row r="137" spans="1:11" ht="12.75">
      <c r="A137" s="30" t="s">
        <v>46</v>
      </c>
      <c r="B137" s="28"/>
      <c r="C137" s="28"/>
      <c r="D137" s="28"/>
      <c r="E137" s="28"/>
      <c r="F137" s="28"/>
      <c r="G137" s="28"/>
      <c r="H137" s="28"/>
      <c r="I137" s="29"/>
      <c r="J137" s="28"/>
      <c r="K137" s="28"/>
    </row>
    <row r="138" spans="1:11" ht="12.75">
      <c r="A138" s="27" t="s">
        <v>40</v>
      </c>
      <c r="B138" s="28"/>
      <c r="C138" s="28"/>
      <c r="D138" s="28"/>
      <c r="E138" s="28"/>
      <c r="F138" s="28"/>
      <c r="G138" s="28"/>
      <c r="H138" s="28"/>
      <c r="I138" s="29"/>
      <c r="J138" s="28"/>
      <c r="K138" s="28"/>
    </row>
    <row r="139" spans="1:11" ht="12.75">
      <c r="A139" s="27"/>
      <c r="B139" s="28"/>
      <c r="C139" s="28"/>
      <c r="D139" s="28"/>
      <c r="E139" s="28"/>
      <c r="F139" s="28"/>
      <c r="G139" s="28"/>
      <c r="H139" s="28"/>
      <c r="I139" s="29"/>
      <c r="J139" s="28"/>
      <c r="K139" s="28"/>
    </row>
    <row r="140" spans="1:11" ht="12.75">
      <c r="A140" s="30" t="s">
        <v>108</v>
      </c>
      <c r="B140" s="28"/>
      <c r="C140" s="28"/>
      <c r="D140" s="28"/>
      <c r="E140" s="28"/>
      <c r="F140" s="28"/>
      <c r="G140" s="28"/>
      <c r="H140" s="28"/>
      <c r="I140" s="29"/>
      <c r="J140" s="28"/>
      <c r="K140" s="28"/>
    </row>
    <row r="141" spans="1:11" ht="12.75">
      <c r="A141" s="27" t="s">
        <v>73</v>
      </c>
      <c r="B141" s="28"/>
      <c r="C141" s="28"/>
      <c r="D141" s="28"/>
      <c r="E141" s="28"/>
      <c r="F141" s="28"/>
      <c r="G141" s="28"/>
      <c r="H141" s="28"/>
      <c r="I141" s="29"/>
      <c r="J141" s="28"/>
      <c r="K141" s="28"/>
    </row>
    <row r="142" spans="1:11" ht="13.5" thickBot="1">
      <c r="A142" s="31"/>
      <c r="B142" s="32"/>
      <c r="C142" s="32"/>
      <c r="D142" s="32"/>
      <c r="E142" s="32"/>
      <c r="F142" s="32"/>
      <c r="G142" s="32"/>
      <c r="H142" s="32"/>
      <c r="I142" s="33"/>
      <c r="J142" s="28"/>
      <c r="K142" s="28"/>
    </row>
  </sheetData>
  <mergeCells count="8">
    <mergeCell ref="C61:D61"/>
    <mergeCell ref="E61:F61"/>
    <mergeCell ref="D72:E72"/>
    <mergeCell ref="F72:G72"/>
    <mergeCell ref="D6:E6"/>
    <mergeCell ref="F6:G6"/>
    <mergeCell ref="C49:D49"/>
    <mergeCell ref="E49:F49"/>
  </mergeCells>
  <printOptions/>
  <pageMargins left="0.75" right="0.75" top="1" bottom="1" header="0.5" footer="0.5"/>
  <pageSetup horizontalDpi="300" verticalDpi="300" orientation="portrait" paperSize="9" r:id="rId1"/>
  <rowBreaks count="2" manualBreakCount="2">
    <brk id="47" max="255" man="1"/>
    <brk id="9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3:Q144"/>
  <sheetViews>
    <sheetView tabSelected="1" workbookViewId="0" topLeftCell="A95">
      <selection activeCell="F109" sqref="F109"/>
    </sheetView>
  </sheetViews>
  <sheetFormatPr defaultColWidth="9.140625" defaultRowHeight="12.75"/>
  <cols>
    <col min="1" max="2" width="9.140625" style="2" customWidth="1"/>
    <col min="3" max="3" width="13.140625" style="2" customWidth="1"/>
    <col min="4" max="4" width="9.140625" style="2" customWidth="1"/>
    <col min="5" max="5" width="8.8515625" style="2" customWidth="1"/>
    <col min="6" max="6" width="8.421875" style="2" customWidth="1"/>
    <col min="7" max="7" width="8.8515625" style="2" customWidth="1"/>
    <col min="8" max="8" width="9.00390625" style="2" customWidth="1"/>
    <col min="9" max="9" width="8.28125" style="2" customWidth="1"/>
    <col min="10" max="10" width="9.140625" style="2" customWidth="1"/>
    <col min="11" max="11" width="9.28125" style="2" customWidth="1"/>
    <col min="12" max="16384" width="9.140625" style="2" customWidth="1"/>
  </cols>
  <sheetData>
    <row r="3" spans="1:10" ht="18.75">
      <c r="A3" s="34" t="s">
        <v>142</v>
      </c>
      <c r="E3" s="3"/>
      <c r="F3" s="3"/>
      <c r="G3" s="3"/>
      <c r="H3" s="3"/>
      <c r="I3" s="3"/>
      <c r="J3" s="3"/>
    </row>
    <row r="5" spans="1:11" ht="13.5">
      <c r="A5" s="4" t="s">
        <v>41</v>
      </c>
      <c r="B5" s="5"/>
      <c r="C5" s="5"/>
      <c r="D5" s="5"/>
      <c r="E5" s="5" t="s">
        <v>0</v>
      </c>
      <c r="F5" s="5"/>
      <c r="G5" s="5"/>
      <c r="H5" s="5"/>
      <c r="I5" s="5"/>
      <c r="J5"/>
      <c r="K5"/>
    </row>
    <row r="6" spans="4:9" ht="12.75">
      <c r="D6" s="61" t="s">
        <v>123</v>
      </c>
      <c r="E6" s="61"/>
      <c r="F6" s="61"/>
      <c r="G6" s="61" t="s">
        <v>125</v>
      </c>
      <c r="H6" s="61"/>
      <c r="I6" s="61"/>
    </row>
    <row r="7" spans="1:12" ht="12.75">
      <c r="A7" s="8"/>
      <c r="B7" s="5"/>
      <c r="C7" s="5"/>
      <c r="D7" s="9">
        <v>2000</v>
      </c>
      <c r="E7" s="9">
        <v>1999</v>
      </c>
      <c r="F7" s="9">
        <v>1998</v>
      </c>
      <c r="G7" s="9">
        <v>2000</v>
      </c>
      <c r="H7" s="9">
        <v>1999</v>
      </c>
      <c r="I7" s="9">
        <v>1998</v>
      </c>
      <c r="K7"/>
      <c r="L7"/>
    </row>
    <row r="8" spans="4:12" ht="12.75">
      <c r="D8" s="3"/>
      <c r="E8" s="3"/>
      <c r="F8" s="3"/>
      <c r="G8" s="3"/>
      <c r="H8" s="3"/>
      <c r="I8" s="3"/>
      <c r="K8"/>
      <c r="L8"/>
    </row>
    <row r="9" spans="1:17" ht="12.75">
      <c r="A9" s="2" t="s">
        <v>1</v>
      </c>
      <c r="D9" s="39">
        <v>1173</v>
      </c>
      <c r="E9" s="39">
        <v>908</v>
      </c>
      <c r="F9" s="39">
        <v>789</v>
      </c>
      <c r="G9" s="39">
        <f>D9-864</f>
        <v>309</v>
      </c>
      <c r="H9" s="39">
        <v>240</v>
      </c>
      <c r="I9" s="39">
        <v>214</v>
      </c>
      <c r="K9"/>
      <c r="L9"/>
      <c r="P9" s="12"/>
      <c r="Q9" s="12"/>
    </row>
    <row r="10" spans="1:17" ht="12.75">
      <c r="A10" s="2" t="s">
        <v>80</v>
      </c>
      <c r="D10" s="53">
        <v>-814</v>
      </c>
      <c r="E10" s="53">
        <v>-621</v>
      </c>
      <c r="F10" s="53">
        <v>-542</v>
      </c>
      <c r="G10" s="53">
        <f>D10+601</f>
        <v>-213</v>
      </c>
      <c r="H10" s="53">
        <v>-161</v>
      </c>
      <c r="I10" s="53">
        <v>-156</v>
      </c>
      <c r="K10"/>
      <c r="L10"/>
      <c r="P10" s="12"/>
      <c r="Q10" s="12"/>
    </row>
    <row r="11" spans="1:17" s="3" customFormat="1" ht="12.75">
      <c r="A11" s="3" t="s">
        <v>2</v>
      </c>
      <c r="D11" s="39">
        <f aca="true" t="shared" si="0" ref="D11:I11">D9+D10</f>
        <v>359</v>
      </c>
      <c r="E11" s="39">
        <f t="shared" si="0"/>
        <v>287</v>
      </c>
      <c r="F11" s="39">
        <f t="shared" si="0"/>
        <v>247</v>
      </c>
      <c r="G11" s="39">
        <f t="shared" si="0"/>
        <v>96</v>
      </c>
      <c r="H11" s="39">
        <f t="shared" si="0"/>
        <v>79</v>
      </c>
      <c r="I11" s="39">
        <f t="shared" si="0"/>
        <v>58</v>
      </c>
      <c r="K11" s="1"/>
      <c r="L11" s="1"/>
      <c r="P11" s="50"/>
      <c r="Q11" s="50"/>
    </row>
    <row r="12" spans="1:17" s="3" customFormat="1" ht="12.75">
      <c r="A12" s="2" t="s">
        <v>3</v>
      </c>
      <c r="D12" s="39">
        <v>-193</v>
      </c>
      <c r="E12" s="39">
        <v>-155</v>
      </c>
      <c r="F12" s="39">
        <v>-126</v>
      </c>
      <c r="G12" s="39">
        <f>D12+140</f>
        <v>-53</v>
      </c>
      <c r="H12" s="39">
        <v>-43</v>
      </c>
      <c r="I12" s="39">
        <v>-27</v>
      </c>
      <c r="K12" s="1"/>
      <c r="L12" s="1"/>
      <c r="P12" s="50"/>
      <c r="Q12" s="50"/>
    </row>
    <row r="13" spans="1:17" s="3" customFormat="1" ht="12.75">
      <c r="A13" s="2" t="s">
        <v>4</v>
      </c>
      <c r="D13" s="39">
        <v>-48</v>
      </c>
      <c r="E13" s="39">
        <v>-40</v>
      </c>
      <c r="F13" s="39">
        <v>-35</v>
      </c>
      <c r="G13" s="39">
        <f>D13+34</f>
        <v>-14</v>
      </c>
      <c r="H13" s="39">
        <v>-11</v>
      </c>
      <c r="I13" s="39">
        <v>-10</v>
      </c>
      <c r="K13" s="1"/>
      <c r="L13" s="1"/>
      <c r="P13" s="50"/>
      <c r="Q13" s="50"/>
    </row>
    <row r="14" spans="1:17" s="3" customFormat="1" ht="12.75">
      <c r="A14" s="2" t="s">
        <v>5</v>
      </c>
      <c r="D14" s="53">
        <v>6</v>
      </c>
      <c r="E14" s="53">
        <v>5</v>
      </c>
      <c r="F14" s="53">
        <v>7</v>
      </c>
      <c r="G14" s="53">
        <f>D14-3</f>
        <v>3</v>
      </c>
      <c r="H14" s="53">
        <v>2</v>
      </c>
      <c r="I14" s="53">
        <v>4</v>
      </c>
      <c r="K14" s="1"/>
      <c r="L14" s="1"/>
      <c r="P14" s="50"/>
      <c r="Q14" s="50"/>
    </row>
    <row r="15" spans="1:17" s="3" customFormat="1" ht="12.75">
      <c r="A15" s="3" t="s">
        <v>82</v>
      </c>
      <c r="D15" s="49"/>
      <c r="E15" s="49"/>
      <c r="F15" s="49"/>
      <c r="G15" s="49"/>
      <c r="H15" s="49"/>
      <c r="I15" s="49"/>
      <c r="K15" s="1"/>
      <c r="L15" s="1"/>
      <c r="P15" s="50"/>
      <c r="Q15" s="50"/>
    </row>
    <row r="16" spans="1:17" s="3" customFormat="1" ht="12.75">
      <c r="A16" s="3" t="s">
        <v>81</v>
      </c>
      <c r="D16" s="39">
        <f aca="true" t="shared" si="1" ref="D16:I16">D11+D12+D13+D14</f>
        <v>124</v>
      </c>
      <c r="E16" s="39">
        <f t="shared" si="1"/>
        <v>97</v>
      </c>
      <c r="F16" s="39">
        <f t="shared" si="1"/>
        <v>93</v>
      </c>
      <c r="G16" s="39">
        <f t="shared" si="1"/>
        <v>32</v>
      </c>
      <c r="H16" s="39">
        <f t="shared" si="1"/>
        <v>27</v>
      </c>
      <c r="I16" s="39">
        <f t="shared" si="1"/>
        <v>25</v>
      </c>
      <c r="K16" s="1"/>
      <c r="L16" s="1"/>
      <c r="P16" s="50"/>
      <c r="Q16" s="50"/>
    </row>
    <row r="17" spans="1:17" ht="12.75">
      <c r="A17" s="2" t="s">
        <v>83</v>
      </c>
      <c r="D17" s="53">
        <v>-27</v>
      </c>
      <c r="E17" s="53">
        <v>-21</v>
      </c>
      <c r="F17" s="53">
        <v>-14</v>
      </c>
      <c r="G17" s="53">
        <f>D17+21</f>
        <v>-6</v>
      </c>
      <c r="H17" s="53">
        <v>-5</v>
      </c>
      <c r="I17" s="53">
        <v>-5</v>
      </c>
      <c r="K17"/>
      <c r="L17"/>
      <c r="P17" s="12"/>
      <c r="Q17" s="12"/>
    </row>
    <row r="18" spans="1:17" s="3" customFormat="1" ht="12.75">
      <c r="A18" s="3" t="s">
        <v>6</v>
      </c>
      <c r="D18" s="39">
        <f aca="true" t="shared" si="2" ref="D18:I18">D16+D17</f>
        <v>97</v>
      </c>
      <c r="E18" s="39">
        <f t="shared" si="2"/>
        <v>76</v>
      </c>
      <c r="F18" s="39">
        <f t="shared" si="2"/>
        <v>79</v>
      </c>
      <c r="G18" s="39">
        <f t="shared" si="2"/>
        <v>26</v>
      </c>
      <c r="H18" s="39">
        <f t="shared" si="2"/>
        <v>22</v>
      </c>
      <c r="I18" s="39">
        <f t="shared" si="2"/>
        <v>20</v>
      </c>
      <c r="K18" s="1"/>
      <c r="L18" s="1"/>
      <c r="P18" s="50"/>
      <c r="Q18" s="50"/>
    </row>
    <row r="19" spans="1:17" s="3" customFormat="1" ht="12.75">
      <c r="A19" s="2" t="s">
        <v>120</v>
      </c>
      <c r="D19" s="39">
        <v>16</v>
      </c>
      <c r="E19" s="39"/>
      <c r="F19" s="39"/>
      <c r="G19" s="39">
        <v>0</v>
      </c>
      <c r="H19" s="39"/>
      <c r="I19" s="39"/>
      <c r="K19" s="1"/>
      <c r="L19" s="1"/>
      <c r="P19" s="50"/>
      <c r="Q19" s="50"/>
    </row>
    <row r="20" spans="1:17" ht="12.75">
      <c r="A20" s="2" t="s">
        <v>7</v>
      </c>
      <c r="D20" s="53">
        <v>-22</v>
      </c>
      <c r="E20" s="53">
        <v>-3</v>
      </c>
      <c r="F20" s="53">
        <v>-2</v>
      </c>
      <c r="G20" s="53">
        <f>D20+15</f>
        <v>-7</v>
      </c>
      <c r="H20" s="53">
        <f>E20+2</f>
        <v>-1</v>
      </c>
      <c r="I20" s="53">
        <f>F20+2</f>
        <v>0</v>
      </c>
      <c r="K20"/>
      <c r="L20"/>
      <c r="P20" s="12"/>
      <c r="Q20" s="12"/>
    </row>
    <row r="21" spans="1:17" s="3" customFormat="1" ht="12.75">
      <c r="A21" s="3" t="s">
        <v>8</v>
      </c>
      <c r="D21" s="39">
        <f>D18+D20+D19</f>
        <v>91</v>
      </c>
      <c r="E21" s="39">
        <f>E18+E20</f>
        <v>73</v>
      </c>
      <c r="F21" s="39">
        <f>F18+F20</f>
        <v>77</v>
      </c>
      <c r="G21" s="39">
        <f>G18+G20+G19</f>
        <v>19</v>
      </c>
      <c r="H21" s="39">
        <f>H18+H20</f>
        <v>21</v>
      </c>
      <c r="I21" s="39">
        <f>I18+I20</f>
        <v>20</v>
      </c>
      <c r="K21" s="1"/>
      <c r="L21" s="1"/>
      <c r="P21" s="50"/>
      <c r="Q21" s="50"/>
    </row>
    <row r="22" spans="1:17" ht="12.75">
      <c r="A22" s="2" t="s">
        <v>9</v>
      </c>
      <c r="D22" s="53">
        <v>-30</v>
      </c>
      <c r="E22" s="53">
        <v>-23</v>
      </c>
      <c r="F22" s="53">
        <v>-22</v>
      </c>
      <c r="G22" s="53">
        <f>D22+21</f>
        <v>-9</v>
      </c>
      <c r="H22" s="53">
        <v>-8</v>
      </c>
      <c r="I22" s="53">
        <v>-6</v>
      </c>
      <c r="K22"/>
      <c r="L22"/>
      <c r="P22" s="12"/>
      <c r="Q22" s="12"/>
    </row>
    <row r="23" spans="1:17" s="3" customFormat="1" ht="12.75">
      <c r="A23" s="4" t="s">
        <v>10</v>
      </c>
      <c r="B23" s="4"/>
      <c r="C23" s="4"/>
      <c r="D23" s="53">
        <f aca="true" t="shared" si="3" ref="D23:I23">D21+D22</f>
        <v>61</v>
      </c>
      <c r="E23" s="53">
        <f t="shared" si="3"/>
        <v>50</v>
      </c>
      <c r="F23" s="53">
        <f t="shared" si="3"/>
        <v>55</v>
      </c>
      <c r="G23" s="53">
        <f t="shared" si="3"/>
        <v>10</v>
      </c>
      <c r="H23" s="53">
        <f t="shared" si="3"/>
        <v>13</v>
      </c>
      <c r="I23" s="53">
        <f t="shared" si="3"/>
        <v>14</v>
      </c>
      <c r="K23" s="1"/>
      <c r="L23" s="1"/>
      <c r="P23" s="50"/>
      <c r="Q23" s="50"/>
    </row>
    <row r="24" spans="10:12" ht="12.75">
      <c r="J24"/>
      <c r="K24"/>
      <c r="L24"/>
    </row>
    <row r="25" spans="10:11" ht="12.75">
      <c r="J25"/>
      <c r="K25"/>
    </row>
    <row r="26" spans="1:8" ht="13.5">
      <c r="A26" s="4" t="s">
        <v>42</v>
      </c>
      <c r="B26" s="5"/>
      <c r="C26" s="5"/>
      <c r="D26" s="5"/>
      <c r="E26" s="5"/>
      <c r="F26" s="28"/>
      <c r="G26" s="28"/>
      <c r="H26" s="28"/>
    </row>
    <row r="27" spans="1:8" ht="12.75">
      <c r="A27" s="13"/>
      <c r="B27" s="14"/>
      <c r="C27" s="14"/>
      <c r="D27" s="15" t="s">
        <v>124</v>
      </c>
      <c r="E27" s="15" t="s">
        <v>63</v>
      </c>
      <c r="F27" s="15" t="s">
        <v>126</v>
      </c>
      <c r="H27" s="44"/>
    </row>
    <row r="28" ht="12.75">
      <c r="A28" s="3" t="s">
        <v>84</v>
      </c>
    </row>
    <row r="29" spans="1:8" ht="12.75">
      <c r="A29" s="2" t="s">
        <v>11</v>
      </c>
      <c r="D29" s="35">
        <v>284</v>
      </c>
      <c r="E29" s="35">
        <v>296</v>
      </c>
      <c r="F29" s="35">
        <v>77</v>
      </c>
      <c r="H29" s="35"/>
    </row>
    <row r="30" spans="1:8" ht="12.75">
      <c r="A30" s="2" t="s">
        <v>12</v>
      </c>
      <c r="D30" s="38">
        <v>390</v>
      </c>
      <c r="E30" s="38">
        <v>393</v>
      </c>
      <c r="F30" s="38">
        <v>210</v>
      </c>
      <c r="H30" s="35"/>
    </row>
    <row r="31" spans="1:8" ht="12.75">
      <c r="A31" s="2" t="s">
        <v>127</v>
      </c>
      <c r="D31" s="36">
        <v>8</v>
      </c>
      <c r="E31" s="36"/>
      <c r="F31" s="36"/>
      <c r="H31" s="35"/>
    </row>
    <row r="32" spans="1:8" s="3" customFormat="1" ht="12.75">
      <c r="A32" s="3" t="s">
        <v>74</v>
      </c>
      <c r="D32" s="48">
        <f>SUM(D29:D31)</f>
        <v>682</v>
      </c>
      <c r="E32" s="48">
        <f>SUM(E29:E30)</f>
        <v>689</v>
      </c>
      <c r="F32" s="48">
        <f>SUM(F29:F30)</f>
        <v>287</v>
      </c>
      <c r="H32" s="48"/>
    </row>
    <row r="33" spans="4:8" ht="12.75">
      <c r="D33" s="35" t="s">
        <v>0</v>
      </c>
      <c r="E33" s="35" t="s">
        <v>0</v>
      </c>
      <c r="F33" s="35" t="s">
        <v>0</v>
      </c>
      <c r="H33" s="35"/>
    </row>
    <row r="34" spans="1:8" ht="12.75">
      <c r="A34" s="2" t="s">
        <v>13</v>
      </c>
      <c r="D34" s="35">
        <v>64</v>
      </c>
      <c r="E34" s="35">
        <v>67</v>
      </c>
      <c r="F34" s="35">
        <v>43</v>
      </c>
      <c r="H34" s="35"/>
    </row>
    <row r="35" spans="1:8" ht="12.75">
      <c r="A35" s="2" t="s">
        <v>14</v>
      </c>
      <c r="D35" s="35">
        <v>107</v>
      </c>
      <c r="E35" s="35">
        <v>115</v>
      </c>
      <c r="F35" s="35">
        <v>55</v>
      </c>
      <c r="H35" s="35"/>
    </row>
    <row r="36" spans="1:8" ht="12.75">
      <c r="A36" s="2" t="s">
        <v>15</v>
      </c>
      <c r="D36" s="36">
        <v>18</v>
      </c>
      <c r="E36" s="36">
        <v>46</v>
      </c>
      <c r="F36" s="36">
        <v>66</v>
      </c>
      <c r="H36" s="38"/>
    </row>
    <row r="37" spans="1:8" ht="12.75">
      <c r="A37" s="3" t="s">
        <v>75</v>
      </c>
      <c r="B37" s="3"/>
      <c r="C37" s="3"/>
      <c r="D37" s="51">
        <f>SUM(D34:D36)</f>
        <v>189</v>
      </c>
      <c r="E37" s="51">
        <f>SUM(E34:E36)</f>
        <v>228</v>
      </c>
      <c r="F37" s="51">
        <f>SUM(F34:F36)</f>
        <v>164</v>
      </c>
      <c r="H37" s="38"/>
    </row>
    <row r="38" spans="1:8" ht="12.75">
      <c r="A38" s="3" t="s">
        <v>76</v>
      </c>
      <c r="B38" s="3"/>
      <c r="C38" s="3"/>
      <c r="D38" s="48">
        <f>+D37+D32</f>
        <v>871</v>
      </c>
      <c r="E38" s="48">
        <f>+E37+E32</f>
        <v>917</v>
      </c>
      <c r="F38" s="48">
        <f>+F37+F32</f>
        <v>451</v>
      </c>
      <c r="H38" s="35"/>
    </row>
    <row r="39" spans="1:8" ht="12.75">
      <c r="A39" s="3"/>
      <c r="B39" s="3"/>
      <c r="C39" s="3"/>
      <c r="D39" s="48"/>
      <c r="E39" s="48"/>
      <c r="F39" s="48"/>
      <c r="H39" s="35"/>
    </row>
    <row r="40" spans="1:8" ht="12.75">
      <c r="A40" s="3" t="s">
        <v>85</v>
      </c>
      <c r="D40" s="35"/>
      <c r="E40" s="35"/>
      <c r="F40" s="35"/>
      <c r="H40" s="35"/>
    </row>
    <row r="41" spans="1:8" ht="12.75">
      <c r="A41" s="2" t="s">
        <v>16</v>
      </c>
      <c r="D41" s="35">
        <v>258</v>
      </c>
      <c r="E41" s="35">
        <v>232</v>
      </c>
      <c r="F41" s="35">
        <v>219</v>
      </c>
      <c r="H41" s="35"/>
    </row>
    <row r="42" spans="1:8" ht="12.75">
      <c r="A42" s="2" t="s">
        <v>17</v>
      </c>
      <c r="D42" s="35">
        <v>70</v>
      </c>
      <c r="E42" s="35">
        <v>71</v>
      </c>
      <c r="F42" s="35">
        <v>49</v>
      </c>
      <c r="H42" s="35"/>
    </row>
    <row r="43" spans="1:8" ht="12.75">
      <c r="A43" s="2" t="s">
        <v>111</v>
      </c>
      <c r="D43" s="35">
        <v>430</v>
      </c>
      <c r="E43" s="35">
        <v>172</v>
      </c>
      <c r="F43" s="35">
        <v>93</v>
      </c>
      <c r="H43" s="35"/>
    </row>
    <row r="44" spans="1:8" ht="12.75">
      <c r="A44" s="2" t="s">
        <v>47</v>
      </c>
      <c r="D44" s="36">
        <v>113</v>
      </c>
      <c r="E44" s="36">
        <v>442</v>
      </c>
      <c r="F44" s="36">
        <v>90</v>
      </c>
      <c r="H44" s="38"/>
    </row>
    <row r="45" spans="1:8" ht="12.75">
      <c r="A45" s="3" t="s">
        <v>112</v>
      </c>
      <c r="B45" s="3"/>
      <c r="C45" s="3"/>
      <c r="D45" s="35"/>
      <c r="E45" s="35"/>
      <c r="F45" s="35"/>
      <c r="H45" s="35"/>
    </row>
    <row r="46" spans="1:8" ht="12.75">
      <c r="A46" s="4" t="s">
        <v>77</v>
      </c>
      <c r="B46" s="4"/>
      <c r="C46" s="4"/>
      <c r="D46" s="52">
        <f>SUM(D41:D45)</f>
        <v>871</v>
      </c>
      <c r="E46" s="52">
        <f>SUM(E41:E45)</f>
        <v>917</v>
      </c>
      <c r="F46" s="52">
        <f>SUM(F41:F45)</f>
        <v>451</v>
      </c>
      <c r="H46" s="38"/>
    </row>
    <row r="49" spans="1:10" ht="13.5">
      <c r="A49" s="4" t="s">
        <v>109</v>
      </c>
      <c r="B49" s="5"/>
      <c r="C49" s="5"/>
      <c r="D49" s="5"/>
      <c r="E49" s="5"/>
      <c r="F49" s="5"/>
      <c r="G49" s="5"/>
      <c r="H49" s="5"/>
      <c r="I49"/>
      <c r="J49"/>
    </row>
    <row r="50" spans="1:10" ht="12.75">
      <c r="A50" s="46"/>
      <c r="B50" s="28"/>
      <c r="C50" s="62" t="s">
        <v>123</v>
      </c>
      <c r="D50" s="62"/>
      <c r="E50" s="62"/>
      <c r="F50" s="62" t="s">
        <v>125</v>
      </c>
      <c r="G50" s="62"/>
      <c r="H50" s="62"/>
      <c r="I50"/>
      <c r="J50"/>
    </row>
    <row r="51" spans="1:10" ht="12.75">
      <c r="A51" s="4" t="s">
        <v>18</v>
      </c>
      <c r="B51" s="5"/>
      <c r="C51" s="9">
        <v>2000</v>
      </c>
      <c r="D51" s="9">
        <v>1999</v>
      </c>
      <c r="E51" s="9">
        <v>1998</v>
      </c>
      <c r="F51" s="9">
        <v>2000</v>
      </c>
      <c r="G51" s="9">
        <v>1999</v>
      </c>
      <c r="H51" s="9">
        <v>1998</v>
      </c>
      <c r="J51"/>
    </row>
    <row r="52" spans="3:10" ht="12.75">
      <c r="C52" s="3"/>
      <c r="D52" s="3"/>
      <c r="E52" s="3"/>
      <c r="F52" s="3"/>
      <c r="G52" s="3"/>
      <c r="H52" s="3"/>
      <c r="J52"/>
    </row>
    <row r="53" spans="1:10" ht="12.75">
      <c r="A53" s="2" t="s">
        <v>19</v>
      </c>
      <c r="C53" s="35">
        <v>407</v>
      </c>
      <c r="D53" s="35">
        <v>401</v>
      </c>
      <c r="E53" s="35">
        <v>416</v>
      </c>
      <c r="F53" s="35">
        <f>C53-297</f>
        <v>110</v>
      </c>
      <c r="G53" s="35">
        <v>114</v>
      </c>
      <c r="H53" s="35">
        <v>116</v>
      </c>
      <c r="J53"/>
    </row>
    <row r="54" spans="1:10" ht="12.75">
      <c r="A54" s="2" t="s">
        <v>20</v>
      </c>
      <c r="C54" s="35">
        <v>412</v>
      </c>
      <c r="D54" s="35">
        <v>394</v>
      </c>
      <c r="E54" s="35">
        <v>270</v>
      </c>
      <c r="F54" s="35">
        <f>C54-301</f>
        <v>111</v>
      </c>
      <c r="G54" s="35">
        <v>112</v>
      </c>
      <c r="H54" s="35">
        <v>73</v>
      </c>
      <c r="J54"/>
    </row>
    <row r="55" spans="1:10" ht="12.75">
      <c r="A55" s="2" t="s">
        <v>39</v>
      </c>
      <c r="C55" s="35">
        <v>150</v>
      </c>
      <c r="D55" s="35">
        <v>158</v>
      </c>
      <c r="E55" s="35">
        <v>133</v>
      </c>
      <c r="F55" s="35">
        <f>C55-113</f>
        <v>37</v>
      </c>
      <c r="G55" s="35">
        <v>40</v>
      </c>
      <c r="H55" s="35">
        <v>38</v>
      </c>
      <c r="J55"/>
    </row>
    <row r="56" spans="1:10" ht="12.75">
      <c r="A56" s="2" t="s">
        <v>64</v>
      </c>
      <c r="C56" s="35">
        <v>247</v>
      </c>
      <c r="D56" s="35">
        <v>0</v>
      </c>
      <c r="E56" s="35">
        <v>0</v>
      </c>
      <c r="F56" s="35">
        <f>C56-183</f>
        <v>64</v>
      </c>
      <c r="G56" s="35">
        <v>0</v>
      </c>
      <c r="H56" s="35">
        <v>0</v>
      </c>
      <c r="J56"/>
    </row>
    <row r="57" spans="1:10" ht="12.75">
      <c r="A57" s="2" t="s">
        <v>21</v>
      </c>
      <c r="C57" s="36">
        <v>-43</v>
      </c>
      <c r="D57" s="36">
        <v>-45</v>
      </c>
      <c r="E57" s="36">
        <v>-30</v>
      </c>
      <c r="F57" s="36">
        <f>C57+30</f>
        <v>-13</v>
      </c>
      <c r="G57" s="36">
        <v>-26</v>
      </c>
      <c r="H57" s="36">
        <v>-13</v>
      </c>
      <c r="J57"/>
    </row>
    <row r="58" spans="1:10" ht="12.75">
      <c r="A58" s="4" t="s">
        <v>22</v>
      </c>
      <c r="B58" s="5"/>
      <c r="C58" s="52">
        <f aca="true" t="shared" si="4" ref="C58:H58">SUM(C53:C57)</f>
        <v>1173</v>
      </c>
      <c r="D58" s="52">
        <f t="shared" si="4"/>
        <v>908</v>
      </c>
      <c r="E58" s="52">
        <f t="shared" si="4"/>
        <v>789</v>
      </c>
      <c r="F58" s="52">
        <f t="shared" si="4"/>
        <v>309</v>
      </c>
      <c r="G58" s="52">
        <f t="shared" si="4"/>
        <v>240</v>
      </c>
      <c r="H58" s="52">
        <f t="shared" si="4"/>
        <v>214</v>
      </c>
      <c r="J58"/>
    </row>
    <row r="59" spans="3:10" ht="12.75" hidden="1">
      <c r="C59" s="16">
        <f>+C58-I9</f>
        <v>959</v>
      </c>
      <c r="D59" s="16">
        <f>+D58-G9</f>
        <v>599</v>
      </c>
      <c r="E59" s="16" t="e">
        <f>+F58-#REF!</f>
        <v>#REF!</v>
      </c>
      <c r="F59" s="16" t="e">
        <f>+G58-#REF!</f>
        <v>#REF!</v>
      </c>
      <c r="G59" s="16"/>
      <c r="H59" s="16"/>
      <c r="J59"/>
    </row>
    <row r="60" spans="3:10" ht="12.75">
      <c r="C60" s="16"/>
      <c r="D60" s="16"/>
      <c r="E60" s="16"/>
      <c r="F60" s="16"/>
      <c r="G60" s="16"/>
      <c r="H60" s="16"/>
      <c r="J60"/>
    </row>
    <row r="61" spans="1:10" ht="12.75">
      <c r="A61" s="5"/>
      <c r="C61" s="5"/>
      <c r="D61" s="5"/>
      <c r="E61" s="5"/>
      <c r="F61" s="5"/>
      <c r="G61" s="5"/>
      <c r="H61" s="5"/>
      <c r="J61"/>
    </row>
    <row r="62" spans="1:10" ht="12.75">
      <c r="A62" s="3" t="s">
        <v>86</v>
      </c>
      <c r="B62" s="17"/>
      <c r="C62" s="61" t="s">
        <v>123</v>
      </c>
      <c r="D62" s="61"/>
      <c r="E62" s="61"/>
      <c r="F62" s="61" t="s">
        <v>125</v>
      </c>
      <c r="G62" s="61"/>
      <c r="H62" s="61"/>
      <c r="J62"/>
    </row>
    <row r="63" spans="1:10" ht="12.75">
      <c r="A63" s="4" t="s">
        <v>81</v>
      </c>
      <c r="B63" s="5"/>
      <c r="C63" s="59">
        <v>2000</v>
      </c>
      <c r="D63" s="59">
        <v>1999</v>
      </c>
      <c r="E63" s="59">
        <v>1998</v>
      </c>
      <c r="F63" s="59">
        <v>2000</v>
      </c>
      <c r="G63" s="59">
        <v>1999</v>
      </c>
      <c r="H63" s="59">
        <v>1998</v>
      </c>
      <c r="J63"/>
    </row>
    <row r="64" spans="1:10" ht="12.75">
      <c r="A64" s="2" t="s">
        <v>19</v>
      </c>
      <c r="C64" s="35">
        <v>69</v>
      </c>
      <c r="D64" s="35">
        <v>70</v>
      </c>
      <c r="E64" s="35">
        <v>79</v>
      </c>
      <c r="F64" s="35">
        <f>C64-50</f>
        <v>19</v>
      </c>
      <c r="G64" s="35">
        <f>D64-48</f>
        <v>22</v>
      </c>
      <c r="H64" s="35">
        <v>22</v>
      </c>
      <c r="J64"/>
    </row>
    <row r="65" spans="1:10" ht="12.75">
      <c r="A65" s="2" t="s">
        <v>20</v>
      </c>
      <c r="C65" s="35">
        <v>23</v>
      </c>
      <c r="D65" s="35">
        <v>30</v>
      </c>
      <c r="E65" s="35">
        <v>25</v>
      </c>
      <c r="F65" s="35">
        <f>C65-18</f>
        <v>5</v>
      </c>
      <c r="G65" s="35">
        <f>D65-23</f>
        <v>7</v>
      </c>
      <c r="H65" s="35">
        <v>9</v>
      </c>
      <c r="J65"/>
    </row>
    <row r="66" spans="1:10" ht="12.75">
      <c r="A66" s="2" t="s">
        <v>39</v>
      </c>
      <c r="C66" s="35">
        <v>9</v>
      </c>
      <c r="D66" s="35">
        <v>6</v>
      </c>
      <c r="E66" s="35">
        <v>4</v>
      </c>
      <c r="F66" s="35">
        <f>C66-8</f>
        <v>1</v>
      </c>
      <c r="G66" s="35">
        <f>D66-5</f>
        <v>1</v>
      </c>
      <c r="H66" s="35">
        <f>E66-3</f>
        <v>1</v>
      </c>
      <c r="J66"/>
    </row>
    <row r="67" spans="1:10" ht="12.75">
      <c r="A67" s="2" t="s">
        <v>64</v>
      </c>
      <c r="C67" s="35">
        <v>35</v>
      </c>
      <c r="D67" s="35">
        <v>0</v>
      </c>
      <c r="E67" s="35">
        <v>0</v>
      </c>
      <c r="F67" s="35">
        <f>C67-26</f>
        <v>9</v>
      </c>
      <c r="G67" s="35">
        <f>D67</f>
        <v>0</v>
      </c>
      <c r="H67" s="35">
        <f>E67</f>
        <v>0</v>
      </c>
      <c r="J67"/>
    </row>
    <row r="68" spans="1:10" ht="12.75">
      <c r="A68" s="2" t="s">
        <v>21</v>
      </c>
      <c r="C68" s="36">
        <v>-12</v>
      </c>
      <c r="D68" s="36">
        <v>-9</v>
      </c>
      <c r="E68" s="36">
        <v>-15</v>
      </c>
      <c r="F68" s="36">
        <f>C68+10</f>
        <v>-2</v>
      </c>
      <c r="G68" s="36">
        <f>D68+6</f>
        <v>-3</v>
      </c>
      <c r="H68" s="36">
        <v>-7</v>
      </c>
      <c r="J68"/>
    </row>
    <row r="69" spans="1:10" ht="12.75">
      <c r="A69" s="4" t="s">
        <v>22</v>
      </c>
      <c r="B69" s="4"/>
      <c r="C69" s="52">
        <f aca="true" t="shared" si="5" ref="C69:H69">SUM(C64:C68)</f>
        <v>124</v>
      </c>
      <c r="D69" s="52">
        <f t="shared" si="5"/>
        <v>97</v>
      </c>
      <c r="E69" s="52">
        <f t="shared" si="5"/>
        <v>93</v>
      </c>
      <c r="F69" s="52">
        <f t="shared" si="5"/>
        <v>32</v>
      </c>
      <c r="G69" s="52">
        <f t="shared" si="5"/>
        <v>27</v>
      </c>
      <c r="H69" s="52">
        <f t="shared" si="5"/>
        <v>25</v>
      </c>
      <c r="J69"/>
    </row>
    <row r="70" spans="1:10" ht="12.75">
      <c r="A70" s="46"/>
      <c r="B70" s="46"/>
      <c r="C70" s="51"/>
      <c r="D70" s="51"/>
      <c r="E70" s="51"/>
      <c r="F70" s="51"/>
      <c r="G70" s="51"/>
      <c r="H70" s="51"/>
      <c r="I70"/>
      <c r="J70"/>
    </row>
    <row r="71" spans="9:10" ht="12.75">
      <c r="I71"/>
      <c r="J71"/>
    </row>
    <row r="72" spans="1:11" ht="12.75">
      <c r="A72" s="4" t="s">
        <v>23</v>
      </c>
      <c r="D72" s="5"/>
      <c r="E72" s="5"/>
      <c r="F72" s="5"/>
      <c r="G72" s="5"/>
      <c r="H72" s="5"/>
      <c r="I72" s="5"/>
      <c r="J72"/>
      <c r="K72"/>
    </row>
    <row r="73" spans="1:11" s="3" customFormat="1" ht="12.75">
      <c r="A73" s="23"/>
      <c r="B73" s="23"/>
      <c r="C73" s="23"/>
      <c r="D73" s="61" t="s">
        <v>123</v>
      </c>
      <c r="E73" s="61"/>
      <c r="F73" s="61"/>
      <c r="G73" s="61" t="s">
        <v>125</v>
      </c>
      <c r="H73" s="61"/>
      <c r="I73" s="61"/>
      <c r="K73" s="1"/>
    </row>
    <row r="74" spans="1:11" ht="12.75">
      <c r="A74" s="5"/>
      <c r="B74" s="5"/>
      <c r="C74" s="5"/>
      <c r="D74" s="9">
        <v>2000</v>
      </c>
      <c r="E74" s="9">
        <v>1999</v>
      </c>
      <c r="F74" s="9">
        <v>1998</v>
      </c>
      <c r="G74" s="9">
        <v>2000</v>
      </c>
      <c r="H74" s="9">
        <v>1999</v>
      </c>
      <c r="I74" s="9">
        <v>1998</v>
      </c>
      <c r="K74"/>
    </row>
    <row r="75" ht="12.75">
      <c r="K75"/>
    </row>
    <row r="76" spans="1:11" ht="12.75">
      <c r="A76" s="2" t="s">
        <v>25</v>
      </c>
      <c r="D76" s="35">
        <f aca="true" t="shared" si="6" ref="D76:I76">D9</f>
        <v>1173</v>
      </c>
      <c r="E76" s="35">
        <f t="shared" si="6"/>
        <v>908</v>
      </c>
      <c r="F76" s="35">
        <f t="shared" si="6"/>
        <v>789</v>
      </c>
      <c r="G76" s="35">
        <f t="shared" si="6"/>
        <v>309</v>
      </c>
      <c r="H76" s="35">
        <f t="shared" si="6"/>
        <v>240</v>
      </c>
      <c r="I76" s="35">
        <f t="shared" si="6"/>
        <v>214</v>
      </c>
      <c r="K76"/>
    </row>
    <row r="77" spans="1:11" ht="12.75">
      <c r="A77" s="2" t="s">
        <v>87</v>
      </c>
      <c r="D77" s="35">
        <f aca="true" t="shared" si="7" ref="D77:I77">D16</f>
        <v>124</v>
      </c>
      <c r="E77" s="35">
        <f t="shared" si="7"/>
        <v>97</v>
      </c>
      <c r="F77" s="35">
        <f t="shared" si="7"/>
        <v>93</v>
      </c>
      <c r="G77" s="35">
        <f t="shared" si="7"/>
        <v>32</v>
      </c>
      <c r="H77" s="35">
        <f t="shared" si="7"/>
        <v>27</v>
      </c>
      <c r="I77" s="35">
        <f t="shared" si="7"/>
        <v>25</v>
      </c>
      <c r="K77"/>
    </row>
    <row r="78" spans="1:11" ht="12.75">
      <c r="A78" s="2" t="s">
        <v>88</v>
      </c>
      <c r="D78" s="37">
        <f aca="true" t="shared" si="8" ref="D78:I78">D77/D76*100</f>
        <v>10.571184995737426</v>
      </c>
      <c r="E78" s="37">
        <f t="shared" si="8"/>
        <v>10.682819383259911</v>
      </c>
      <c r="F78" s="37">
        <f t="shared" si="8"/>
        <v>11.787072243346007</v>
      </c>
      <c r="G78" s="37">
        <f t="shared" si="8"/>
        <v>10.355987055016183</v>
      </c>
      <c r="H78" s="37">
        <f t="shared" si="8"/>
        <v>11.25</v>
      </c>
      <c r="I78" s="37">
        <f t="shared" si="8"/>
        <v>11.682242990654206</v>
      </c>
      <c r="K78"/>
    </row>
    <row r="79" spans="1:11" ht="12.75">
      <c r="A79" s="2" t="s">
        <v>26</v>
      </c>
      <c r="D79" s="35">
        <f aca="true" t="shared" si="9" ref="D79:I79">D18</f>
        <v>97</v>
      </c>
      <c r="E79" s="35">
        <f t="shared" si="9"/>
        <v>76</v>
      </c>
      <c r="F79" s="35">
        <f t="shared" si="9"/>
        <v>79</v>
      </c>
      <c r="G79" s="35">
        <f t="shared" si="9"/>
        <v>26</v>
      </c>
      <c r="H79" s="35">
        <f t="shared" si="9"/>
        <v>22</v>
      </c>
      <c r="I79" s="35">
        <f t="shared" si="9"/>
        <v>20</v>
      </c>
      <c r="K79"/>
    </row>
    <row r="80" spans="1:16" ht="12.75">
      <c r="A80" s="2" t="s">
        <v>27</v>
      </c>
      <c r="D80" s="41">
        <f aca="true" t="shared" si="10" ref="D80:I80">D79/D76*100</f>
        <v>8.269394714407502</v>
      </c>
      <c r="E80" s="41">
        <f t="shared" si="10"/>
        <v>8.370044052863436</v>
      </c>
      <c r="F80" s="41">
        <f t="shared" si="10"/>
        <v>10.012674271229404</v>
      </c>
      <c r="G80" s="41">
        <f t="shared" si="10"/>
        <v>8.414239482200648</v>
      </c>
      <c r="H80" s="41">
        <f t="shared" si="10"/>
        <v>9.166666666666666</v>
      </c>
      <c r="I80" s="41">
        <f t="shared" si="10"/>
        <v>9.345794392523365</v>
      </c>
      <c r="K80"/>
      <c r="O80" s="19"/>
      <c r="P80" s="19"/>
    </row>
    <row r="81" spans="1:11" ht="12.75">
      <c r="A81" s="2" t="s">
        <v>28</v>
      </c>
      <c r="D81" s="35">
        <v>514</v>
      </c>
      <c r="E81" s="35">
        <v>262</v>
      </c>
      <c r="F81" s="35">
        <v>260</v>
      </c>
      <c r="G81" s="35">
        <v>676</v>
      </c>
      <c r="H81" s="35">
        <v>262</v>
      </c>
      <c r="I81" s="35">
        <v>254</v>
      </c>
      <c r="K81"/>
    </row>
    <row r="82" spans="1:16" ht="12.75">
      <c r="A82" s="2" t="s">
        <v>29</v>
      </c>
      <c r="D82" s="41">
        <v>18.9</v>
      </c>
      <c r="E82" s="41">
        <v>28.8</v>
      </c>
      <c r="F82" s="41">
        <v>30.4</v>
      </c>
      <c r="G82" s="41">
        <v>14.3</v>
      </c>
      <c r="H82" s="41">
        <v>32.1</v>
      </c>
      <c r="I82" s="41">
        <v>31.4</v>
      </c>
      <c r="K82"/>
      <c r="O82" s="19"/>
      <c r="P82" s="19"/>
    </row>
    <row r="83" spans="1:16" ht="12.75">
      <c r="A83" s="2" t="s">
        <v>60</v>
      </c>
      <c r="D83" s="35">
        <v>258</v>
      </c>
      <c r="E83" s="35">
        <v>232</v>
      </c>
      <c r="F83" s="35">
        <v>219</v>
      </c>
      <c r="G83" s="35">
        <v>258</v>
      </c>
      <c r="H83" s="35">
        <v>232</v>
      </c>
      <c r="I83" s="35">
        <v>219</v>
      </c>
      <c r="K83"/>
      <c r="O83" s="19"/>
      <c r="P83" s="19"/>
    </row>
    <row r="84" spans="1:16" ht="12.75">
      <c r="A84" s="2" t="s">
        <v>58</v>
      </c>
      <c r="D84" s="41">
        <v>23.6</v>
      </c>
      <c r="E84" s="41">
        <v>22.1</v>
      </c>
      <c r="F84" s="41">
        <v>26.8</v>
      </c>
      <c r="G84" s="41">
        <v>15.5</v>
      </c>
      <c r="H84" s="41">
        <v>23</v>
      </c>
      <c r="I84" s="41">
        <v>26.8</v>
      </c>
      <c r="K84"/>
      <c r="O84" s="19"/>
      <c r="P84" s="19"/>
    </row>
    <row r="85" spans="1:16" ht="12.75">
      <c r="A85" s="2" t="s">
        <v>30</v>
      </c>
      <c r="D85" s="42">
        <v>30</v>
      </c>
      <c r="E85" s="42">
        <v>25.3</v>
      </c>
      <c r="F85" s="42">
        <v>48.6</v>
      </c>
      <c r="G85" s="42">
        <v>30</v>
      </c>
      <c r="H85" s="42">
        <v>25</v>
      </c>
      <c r="I85" s="42">
        <v>49</v>
      </c>
      <c r="K85"/>
      <c r="O85" s="20"/>
      <c r="P85" s="19"/>
    </row>
    <row r="86" spans="1:16" ht="12.75">
      <c r="A86" s="2" t="s">
        <v>31</v>
      </c>
      <c r="D86" s="37">
        <v>10</v>
      </c>
      <c r="E86" s="37">
        <v>10</v>
      </c>
      <c r="F86" s="37">
        <v>10</v>
      </c>
      <c r="G86" s="37">
        <v>10</v>
      </c>
      <c r="H86" s="37">
        <v>10</v>
      </c>
      <c r="I86" s="37">
        <v>10</v>
      </c>
      <c r="K86"/>
      <c r="O86" s="20"/>
      <c r="P86" s="19"/>
    </row>
    <row r="87" spans="1:15" ht="12.75">
      <c r="A87" s="2" t="s">
        <v>59</v>
      </c>
      <c r="D87" s="40">
        <v>6.09</v>
      </c>
      <c r="E87" s="40">
        <v>5</v>
      </c>
      <c r="F87" s="40">
        <v>5.48</v>
      </c>
      <c r="G87" s="40">
        <v>1</v>
      </c>
      <c r="H87" s="40">
        <v>1.3</v>
      </c>
      <c r="I87" s="40">
        <v>1.4</v>
      </c>
      <c r="K87"/>
      <c r="O87" s="21"/>
    </row>
    <row r="88" spans="1:15" ht="12.75">
      <c r="A88" s="2" t="s">
        <v>143</v>
      </c>
      <c r="D88" s="35">
        <v>49</v>
      </c>
      <c r="E88" s="35">
        <v>49</v>
      </c>
      <c r="F88" s="35">
        <v>30</v>
      </c>
      <c r="G88" s="35">
        <v>17</v>
      </c>
      <c r="H88" s="35">
        <v>10</v>
      </c>
      <c r="I88" s="35">
        <v>4</v>
      </c>
      <c r="K88"/>
      <c r="O88" s="22"/>
    </row>
    <row r="89" spans="1:15" ht="12.75">
      <c r="A89" s="2" t="s">
        <v>144</v>
      </c>
      <c r="D89" s="35">
        <v>46</v>
      </c>
      <c r="E89" s="35">
        <v>33</v>
      </c>
      <c r="F89" s="35">
        <v>30</v>
      </c>
      <c r="G89" s="35">
        <v>16</v>
      </c>
      <c r="H89" s="35">
        <v>12</v>
      </c>
      <c r="I89" s="35">
        <v>7</v>
      </c>
      <c r="K89"/>
      <c r="O89" s="22"/>
    </row>
    <row r="90" spans="1:11" ht="12.75">
      <c r="A90" s="2" t="s">
        <v>145</v>
      </c>
      <c r="D90" s="35">
        <v>27</v>
      </c>
      <c r="E90" s="35">
        <v>21</v>
      </c>
      <c r="F90" s="35">
        <v>13</v>
      </c>
      <c r="G90" s="35">
        <v>6</v>
      </c>
      <c r="H90" s="35">
        <v>5</v>
      </c>
      <c r="I90" s="35">
        <v>3</v>
      </c>
      <c r="K90"/>
    </row>
    <row r="91" spans="1:11" ht="12.75">
      <c r="A91" s="5" t="s">
        <v>32</v>
      </c>
      <c r="B91" s="5"/>
      <c r="C91" s="5"/>
      <c r="D91" s="36">
        <v>644</v>
      </c>
      <c r="E91" s="36">
        <v>654</v>
      </c>
      <c r="F91" s="36">
        <v>411</v>
      </c>
      <c r="G91" s="36">
        <v>644</v>
      </c>
      <c r="H91" s="36">
        <v>654</v>
      </c>
      <c r="I91" s="36">
        <v>411</v>
      </c>
      <c r="K91"/>
    </row>
    <row r="92" spans="10:11" ht="12.75">
      <c r="J92"/>
      <c r="K92"/>
    </row>
    <row r="93" spans="10:11" ht="12.75">
      <c r="J93"/>
      <c r="K93"/>
    </row>
    <row r="94" spans="10:11" ht="12.75">
      <c r="J94"/>
      <c r="K94"/>
    </row>
    <row r="98" spans="1:8" ht="13.5">
      <c r="A98" s="3" t="s">
        <v>110</v>
      </c>
      <c r="F98" s="3"/>
      <c r="G98" s="3"/>
      <c r="H98" s="3"/>
    </row>
    <row r="99" spans="1:9" ht="12.75">
      <c r="A99" s="23"/>
      <c r="B99" s="17"/>
      <c r="C99" s="17"/>
      <c r="D99" s="17"/>
      <c r="E99" s="17"/>
      <c r="F99" s="61" t="s">
        <v>123</v>
      </c>
      <c r="G99" s="61"/>
      <c r="H99" s="61"/>
      <c r="I99"/>
    </row>
    <row r="100" spans="1:9" ht="12.75">
      <c r="A100" s="5"/>
      <c r="B100" s="5"/>
      <c r="C100" s="5"/>
      <c r="D100" s="5"/>
      <c r="E100" s="5"/>
      <c r="F100" s="9">
        <v>2000</v>
      </c>
      <c r="G100" s="9">
        <v>1999</v>
      </c>
      <c r="H100" s="9">
        <v>1998</v>
      </c>
      <c r="I100"/>
    </row>
    <row r="101" spans="1:9" ht="12.75">
      <c r="A101" s="2" t="s">
        <v>8</v>
      </c>
      <c r="F101" s="35">
        <v>91</v>
      </c>
      <c r="G101" s="35">
        <v>73</v>
      </c>
      <c r="H101" s="35">
        <v>77</v>
      </c>
      <c r="I101"/>
    </row>
    <row r="102" spans="1:9" ht="12.75">
      <c r="A102" s="2" t="s">
        <v>33</v>
      </c>
      <c r="F102" s="35">
        <v>73</v>
      </c>
      <c r="G102" s="35">
        <v>54</v>
      </c>
      <c r="H102" s="35">
        <v>43</v>
      </c>
      <c r="I102"/>
    </row>
    <row r="103" spans="1:9" ht="12.75">
      <c r="A103" s="2" t="s">
        <v>48</v>
      </c>
      <c r="F103" s="35">
        <v>-33</v>
      </c>
      <c r="G103" s="35">
        <v>-23</v>
      </c>
      <c r="H103" s="35">
        <v>-17</v>
      </c>
      <c r="I103"/>
    </row>
    <row r="104" spans="1:9" ht="12.75">
      <c r="A104" s="2" t="s">
        <v>49</v>
      </c>
      <c r="F104" s="35">
        <v>5</v>
      </c>
      <c r="G104" s="35">
        <v>-3</v>
      </c>
      <c r="H104" s="35">
        <v>3</v>
      </c>
      <c r="I104"/>
    </row>
    <row r="105" spans="1:9" ht="12.75">
      <c r="A105" s="2" t="s">
        <v>36</v>
      </c>
      <c r="F105" s="36">
        <v>-3</v>
      </c>
      <c r="G105" s="36">
        <v>-13</v>
      </c>
      <c r="H105" s="36">
        <v>9</v>
      </c>
      <c r="I105"/>
    </row>
    <row r="106" spans="1:9" ht="12.75">
      <c r="A106" s="3" t="s">
        <v>78</v>
      </c>
      <c r="F106" s="48">
        <f>SUM(F101:F105)</f>
        <v>133</v>
      </c>
      <c r="G106" s="48">
        <f>SUM(G101:G105)</f>
        <v>88</v>
      </c>
      <c r="H106" s="48">
        <f>SUM(H101:H105)</f>
        <v>115</v>
      </c>
      <c r="I106"/>
    </row>
    <row r="107" spans="1:9" ht="12.75">
      <c r="A107" s="2" t="s">
        <v>146</v>
      </c>
      <c r="F107" s="35">
        <v>-47</v>
      </c>
      <c r="G107" s="35">
        <v>-41</v>
      </c>
      <c r="H107" s="35">
        <v>-83</v>
      </c>
      <c r="I107"/>
    </row>
    <row r="108" spans="1:9" ht="12.75">
      <c r="A108" s="2" t="s">
        <v>79</v>
      </c>
      <c r="F108" s="35">
        <v>-325</v>
      </c>
      <c r="G108" s="35">
        <v>-36</v>
      </c>
      <c r="H108" s="35">
        <v>-90</v>
      </c>
      <c r="I108"/>
    </row>
    <row r="109" spans="1:9" ht="12.75">
      <c r="A109" s="2" t="s">
        <v>50</v>
      </c>
      <c r="F109" s="35">
        <v>251</v>
      </c>
      <c r="G109" s="35">
        <v>6</v>
      </c>
      <c r="H109" s="35">
        <v>74</v>
      </c>
      <c r="I109"/>
    </row>
    <row r="110" spans="1:9" ht="12.75">
      <c r="A110" s="2" t="s">
        <v>37</v>
      </c>
      <c r="F110" s="36">
        <v>-40</v>
      </c>
      <c r="G110" s="36">
        <v>-37</v>
      </c>
      <c r="H110" s="36">
        <v>-33</v>
      </c>
      <c r="I110"/>
    </row>
    <row r="111" spans="1:11" ht="12.75">
      <c r="A111" s="46" t="s">
        <v>38</v>
      </c>
      <c r="B111" s="28"/>
      <c r="C111" s="28"/>
      <c r="D111" s="28"/>
      <c r="E111" s="28"/>
      <c r="F111" s="51">
        <f>F106+F107+F108+F109+F110</f>
        <v>-28</v>
      </c>
      <c r="G111" s="51">
        <f>G106+G107+G108+G109+G110</f>
        <v>-20</v>
      </c>
      <c r="H111" s="51">
        <f>H106+H107+H108+H109+H110</f>
        <v>-17</v>
      </c>
      <c r="I111"/>
      <c r="J111" s="28"/>
      <c r="K111" s="28"/>
    </row>
    <row r="112" spans="1:11" ht="12.75">
      <c r="A112" s="2" t="s">
        <v>94</v>
      </c>
      <c r="F112" s="35">
        <v>46</v>
      </c>
      <c r="G112" s="35">
        <v>66</v>
      </c>
      <c r="H112" s="35">
        <v>83</v>
      </c>
      <c r="I112"/>
      <c r="J112" s="28"/>
      <c r="K112" s="28"/>
    </row>
    <row r="113" spans="1:9" ht="12.75">
      <c r="A113" s="4" t="s">
        <v>93</v>
      </c>
      <c r="B113" s="5"/>
      <c r="C113" s="5"/>
      <c r="D113" s="5"/>
      <c r="E113" s="5"/>
      <c r="F113" s="52">
        <f>F111+F112</f>
        <v>18</v>
      </c>
      <c r="G113" s="52">
        <f>G111+G112</f>
        <v>46</v>
      </c>
      <c r="H113" s="52">
        <f>H111+H112</f>
        <v>66</v>
      </c>
      <c r="I113"/>
    </row>
    <row r="114" ht="12.75">
      <c r="I114"/>
    </row>
    <row r="115" ht="12.75">
      <c r="A115" s="2" t="s">
        <v>51</v>
      </c>
    </row>
    <row r="117" ht="12.75">
      <c r="A117" s="2" t="s">
        <v>134</v>
      </c>
    </row>
    <row r="119" spans="1:3" ht="12.75">
      <c r="A119" s="24" t="s">
        <v>71</v>
      </c>
      <c r="C119" s="2" t="s">
        <v>147</v>
      </c>
    </row>
    <row r="120" spans="1:3" ht="12.75">
      <c r="A120" s="24" t="s">
        <v>135</v>
      </c>
      <c r="C120" s="2" t="s">
        <v>136</v>
      </c>
    </row>
    <row r="121" spans="1:3" ht="12.75">
      <c r="A121" s="24" t="s">
        <v>137</v>
      </c>
      <c r="C121" s="2" t="s">
        <v>138</v>
      </c>
    </row>
    <row r="122" spans="1:3" ht="12.75">
      <c r="A122" s="24" t="s">
        <v>139</v>
      </c>
      <c r="C122" s="2" t="s">
        <v>140</v>
      </c>
    </row>
    <row r="123" ht="12.75">
      <c r="A123" s="24"/>
    </row>
    <row r="124" ht="12.75">
      <c r="A124" s="24" t="s">
        <v>141</v>
      </c>
    </row>
    <row r="125" ht="13.5" thickBot="1"/>
    <row r="126" spans="1:9" ht="12.75">
      <c r="A126" s="47"/>
      <c r="B126" s="25"/>
      <c r="C126" s="25"/>
      <c r="D126" s="25"/>
      <c r="E126" s="25"/>
      <c r="F126" s="25"/>
      <c r="G126" s="25"/>
      <c r="H126" s="25"/>
      <c r="I126" s="26"/>
    </row>
    <row r="127" spans="1:9" ht="12.75">
      <c r="A127" s="30" t="s">
        <v>89</v>
      </c>
      <c r="B127" s="28"/>
      <c r="C127" s="28"/>
      <c r="D127" s="28"/>
      <c r="E127" s="28"/>
      <c r="F127" s="28"/>
      <c r="G127" s="28"/>
      <c r="H127" s="28"/>
      <c r="I127" s="29"/>
    </row>
    <row r="128" spans="1:9" ht="12.75">
      <c r="A128" s="27" t="s">
        <v>90</v>
      </c>
      <c r="B128" s="28"/>
      <c r="C128" s="28"/>
      <c r="D128" s="28"/>
      <c r="E128" s="28"/>
      <c r="F128" s="28"/>
      <c r="G128" s="28"/>
      <c r="H128" s="28"/>
      <c r="I128" s="29"/>
    </row>
    <row r="129" spans="1:9" ht="12.75">
      <c r="A129" s="27" t="s">
        <v>91</v>
      </c>
      <c r="B129" s="28"/>
      <c r="C129" s="28"/>
      <c r="D129" s="28"/>
      <c r="E129" s="28"/>
      <c r="F129" s="28"/>
      <c r="G129" s="28"/>
      <c r="H129" s="28"/>
      <c r="I129" s="29"/>
    </row>
    <row r="130" spans="1:11" ht="12.75">
      <c r="A130" s="30"/>
      <c r="B130" s="28"/>
      <c r="C130" s="28"/>
      <c r="D130" s="28"/>
      <c r="E130" s="28"/>
      <c r="F130" s="28"/>
      <c r="G130" s="28"/>
      <c r="H130" s="28"/>
      <c r="I130" s="29"/>
      <c r="J130" s="28"/>
      <c r="K130" s="28"/>
    </row>
    <row r="131" spans="1:11" ht="12.75">
      <c r="A131" s="30" t="s">
        <v>43</v>
      </c>
      <c r="B131" s="28"/>
      <c r="C131" s="28"/>
      <c r="D131" s="28"/>
      <c r="E131" s="28"/>
      <c r="F131" s="28"/>
      <c r="G131" s="28"/>
      <c r="H131" s="28"/>
      <c r="I131" s="29"/>
      <c r="J131" s="28"/>
      <c r="K131" s="28"/>
    </row>
    <row r="132" spans="1:11" ht="12.75">
      <c r="A132" s="27" t="s">
        <v>44</v>
      </c>
      <c r="B132" s="28"/>
      <c r="C132" s="28"/>
      <c r="D132" s="28"/>
      <c r="E132" s="28"/>
      <c r="F132" s="28"/>
      <c r="G132" s="28"/>
      <c r="H132" s="28"/>
      <c r="I132" s="29"/>
      <c r="J132" s="28"/>
      <c r="K132" s="28"/>
    </row>
    <row r="133" spans="1:11" ht="12.75">
      <c r="A133" s="27" t="s">
        <v>57</v>
      </c>
      <c r="B133" s="28"/>
      <c r="C133" s="28"/>
      <c r="D133" s="28"/>
      <c r="E133" s="28"/>
      <c r="F133" s="28"/>
      <c r="G133" s="28"/>
      <c r="H133" s="28"/>
      <c r="I133" s="29"/>
      <c r="J133" s="28"/>
      <c r="K133" s="28"/>
    </row>
    <row r="134" spans="1:11" ht="12.75">
      <c r="A134" s="27"/>
      <c r="B134" s="28"/>
      <c r="C134" s="28"/>
      <c r="D134" s="28"/>
      <c r="E134" s="28"/>
      <c r="F134" s="28"/>
      <c r="G134" s="28"/>
      <c r="H134" s="28"/>
      <c r="I134" s="29"/>
      <c r="J134" s="28"/>
      <c r="K134" s="28"/>
    </row>
    <row r="135" spans="1:11" ht="12.75">
      <c r="A135" s="30" t="s">
        <v>45</v>
      </c>
      <c r="B135" s="28"/>
      <c r="C135" s="28"/>
      <c r="D135" s="28"/>
      <c r="E135" s="28"/>
      <c r="F135" s="28"/>
      <c r="G135" s="28"/>
      <c r="H135" s="28"/>
      <c r="I135" s="29"/>
      <c r="J135" s="28"/>
      <c r="K135" s="28"/>
    </row>
    <row r="136" spans="1:11" ht="12.75">
      <c r="A136" s="27" t="s">
        <v>61</v>
      </c>
      <c r="B136" s="28"/>
      <c r="C136" s="28"/>
      <c r="D136" s="28"/>
      <c r="E136" s="28"/>
      <c r="F136" s="28"/>
      <c r="G136" s="28"/>
      <c r="H136" s="28"/>
      <c r="I136" s="29"/>
      <c r="J136" s="28"/>
      <c r="K136" s="28"/>
    </row>
    <row r="137" spans="1:11" ht="12.75">
      <c r="A137" s="30" t="s">
        <v>62</v>
      </c>
      <c r="B137" s="28"/>
      <c r="C137" s="28"/>
      <c r="D137" s="28"/>
      <c r="E137" s="28"/>
      <c r="F137" s="28"/>
      <c r="G137" s="28"/>
      <c r="H137" s="28"/>
      <c r="I137" s="29"/>
      <c r="J137" s="28"/>
      <c r="K137" s="28"/>
    </row>
    <row r="138" spans="1:11" ht="12.75">
      <c r="A138" s="27"/>
      <c r="B138" s="28"/>
      <c r="C138" s="28"/>
      <c r="D138" s="28"/>
      <c r="E138" s="28"/>
      <c r="F138" s="28"/>
      <c r="G138" s="28"/>
      <c r="H138" s="28"/>
      <c r="I138" s="29"/>
      <c r="J138" s="28"/>
      <c r="K138" s="28"/>
    </row>
    <row r="139" spans="1:11" ht="12.75">
      <c r="A139" s="30" t="s">
        <v>46</v>
      </c>
      <c r="B139" s="28"/>
      <c r="C139" s="28"/>
      <c r="D139" s="28"/>
      <c r="E139" s="28"/>
      <c r="F139" s="28"/>
      <c r="G139" s="28"/>
      <c r="H139" s="28"/>
      <c r="I139" s="29"/>
      <c r="J139" s="28"/>
      <c r="K139" s="28"/>
    </row>
    <row r="140" spans="1:11" ht="12.75">
      <c r="A140" s="27" t="s">
        <v>40</v>
      </c>
      <c r="B140" s="28"/>
      <c r="C140" s="28"/>
      <c r="D140" s="28"/>
      <c r="E140" s="28"/>
      <c r="F140" s="28"/>
      <c r="G140" s="28"/>
      <c r="H140" s="28"/>
      <c r="I140" s="29"/>
      <c r="J140" s="28"/>
      <c r="K140" s="28"/>
    </row>
    <row r="141" spans="1:11" ht="12.75">
      <c r="A141" s="27"/>
      <c r="B141" s="28"/>
      <c r="C141" s="28"/>
      <c r="D141" s="28"/>
      <c r="E141" s="28"/>
      <c r="F141" s="28"/>
      <c r="G141" s="28"/>
      <c r="H141" s="28"/>
      <c r="I141" s="29"/>
      <c r="J141" s="28"/>
      <c r="K141" s="28"/>
    </row>
    <row r="142" spans="1:11" ht="12.75">
      <c r="A142" s="30" t="s">
        <v>108</v>
      </c>
      <c r="B142" s="28"/>
      <c r="C142" s="28"/>
      <c r="D142" s="28"/>
      <c r="E142" s="28"/>
      <c r="F142" s="28"/>
      <c r="G142" s="28"/>
      <c r="H142" s="28"/>
      <c r="I142" s="29"/>
      <c r="J142" s="28"/>
      <c r="K142" s="28"/>
    </row>
    <row r="143" spans="1:11" ht="12.75">
      <c r="A143" s="27" t="s">
        <v>73</v>
      </c>
      <c r="B143" s="28"/>
      <c r="C143" s="28"/>
      <c r="D143" s="28"/>
      <c r="E143" s="28"/>
      <c r="F143" s="28"/>
      <c r="G143" s="28"/>
      <c r="H143" s="28"/>
      <c r="I143" s="29"/>
      <c r="J143" s="28"/>
      <c r="K143" s="28"/>
    </row>
    <row r="144" spans="1:11" ht="13.5" thickBot="1">
      <c r="A144" s="31"/>
      <c r="B144" s="32"/>
      <c r="C144" s="32"/>
      <c r="D144" s="32"/>
      <c r="E144" s="32"/>
      <c r="F144" s="32"/>
      <c r="G144" s="32"/>
      <c r="H144" s="32"/>
      <c r="I144" s="33"/>
      <c r="J144" s="28"/>
      <c r="K144" s="28"/>
    </row>
  </sheetData>
  <mergeCells count="9">
    <mergeCell ref="D6:F6"/>
    <mergeCell ref="G6:I6"/>
    <mergeCell ref="C50:E50"/>
    <mergeCell ref="F50:H50"/>
    <mergeCell ref="F99:H99"/>
    <mergeCell ref="C62:E62"/>
    <mergeCell ref="F62:H62"/>
    <mergeCell ref="D73:F73"/>
    <mergeCell ref="G73:I73"/>
  </mergeCells>
  <printOptions/>
  <pageMargins left="0.75" right="0.75" top="1" bottom="1" header="0.5" footer="0.5"/>
  <pageSetup horizontalDpi="300" verticalDpi="300" orientation="portrait" paperSize="9" r:id="rId1"/>
  <rowBreaks count="2" manualBreakCount="2">
    <brk id="47" max="255" man="1"/>
    <brk id="96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D57" sqref="D57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D57" sqref="D57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D57" sqref="D57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Henrik Ljung</cp:lastModifiedBy>
  <cp:lastPrinted>2001-02-04T12:56:30Z</cp:lastPrinted>
  <dcterms:created xsi:type="dcterms:W3CDTF">1998-10-12T11:26:34Z</dcterms:created>
  <dcterms:modified xsi:type="dcterms:W3CDTF">2001-02-13T18:26:35Z</dcterms:modified>
  <cp:category/>
  <cp:version/>
  <cp:contentType/>
  <cp:contentStatus/>
</cp:coreProperties>
</file>